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0" windowWidth="17496" windowHeight="5736" activeTab="0"/>
  </bookViews>
  <sheets>
    <sheet name="Ergebniseingabe" sheetId="1" r:id="rId1"/>
    <sheet name="Druckversion" sheetId="2" r:id="rId2"/>
    <sheet name=" " sheetId="3" state="veryHidden" r:id="rId3"/>
    <sheet name="Tabelle1" sheetId="4" r:id="rId4"/>
  </sheets>
  <definedNames>
    <definedName name="_xlnm.Print_Area" localSheetId="1">'Druckversion'!$A$1:$BR$118</definedName>
    <definedName name="_xlnm.Print_Area" localSheetId="0">'Ergebniseingabe'!$A$1:$BQ$117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C48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<sst xmlns="http://schemas.openxmlformats.org/spreadsheetml/2006/main" count="292" uniqueCount="89">
  <si>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</si>
  <si>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</si>
  <si>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</si>
  <si>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</si>
  <si>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</si>
  <si>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</si>
  <si>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</si>
  <si>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</si>
  <si>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</si>
  <si>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</si>
  <si>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</si>
  <si>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</si>
  <si>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</si>
  <si>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</si>
  <si>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</si>
  <si>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</si>
  <si>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</si>
  <si>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</si>
  <si>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</si>
  <si>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</si>
  <si>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</si>
  <si>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</si>
  <si>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</si>
  <si>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</si>
  <si>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</si>
  <si>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</si>
  <si>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</si>
  <si>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</si>
  <si>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</si>
  <si>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</si>
  <si>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</si>
  <si>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</si>
  <si>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</si>
  <si>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</si>
  <si>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</si>
  <si>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</si>
  <si>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</si>
  <si>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</si>
  <si>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</si>
  <si>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</si>
  <si>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</si>
  <si>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</si>
  <si>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</si>
  <si>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</si>
  <si>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</si>
  <si>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</si>
  <si>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</si>
  <si>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</si>
  <si>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</si>
  <si>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</si>
  <si>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</si>
  <si>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</si>
  <si>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</si>
  <si>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</si>
  <si>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+</t>
  </si>
  <si>
    <t>Punkte</t>
  </si>
  <si>
    <t>diff.</t>
  </si>
  <si>
    <t>Spiele</t>
  </si>
  <si>
    <t>n. 9m</t>
  </si>
  <si>
    <t>n. 11m</t>
  </si>
  <si>
    <t>n. V.</t>
  </si>
  <si>
    <t>Vereinslogo</t>
  </si>
  <si>
    <t>Uhrzeit:</t>
  </si>
  <si>
    <t>Uhrzeit</t>
  </si>
  <si>
    <t>Vorrunde</t>
  </si>
  <si>
    <t>2. Test-Checker-Cup 2010</t>
  </si>
  <si>
    <t>Fußballturnier für - 2 X 4 - Mannschaften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</si>
  <si>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</si>
  <si>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0"/>
      </rPr>
      <t>Anzahl Punkte aus allen Gruppenspielen</t>
    </r>
  </si>
  <si>
    <r>
      <t xml:space="preserve">b) </t>
    </r>
    <r>
      <rPr>
        <sz val="10"/>
        <color indexed="8"/>
        <rFont val="Arial"/>
        <family val="0"/>
      </rPr>
      <t>Tordifferenz aus allen Gruppenspielen</t>
    </r>
  </si>
  <si>
    <r>
      <t xml:space="preserve">c) </t>
    </r>
    <r>
      <rPr>
        <sz val="10"/>
        <color indexed="8"/>
        <rFont val="Arial"/>
        <family val="0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</si>
  <si>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</si>
  <si>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0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</si>
  <si>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0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</si>
  <si>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0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</si>
  <si>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0"/>
      </rPr>
      <t xml:space="preserve"> Losentscheid durch die Turnierleitung</t>
    </r>
  </si>
  <si>
    <t>s</t>
  </si>
  <si>
    <t>Gleichstand liegt vor</t>
  </si>
  <si>
    <t>Tore +</t>
  </si>
  <si>
    <t>Tabellen Vorrunde</t>
  </si>
  <si>
    <t>an der Hardtbrücke</t>
  </si>
  <si>
    <t>SVM Senioren I</t>
  </si>
  <si>
    <t>SVM Senioren III</t>
  </si>
  <si>
    <t>Esch</t>
  </si>
  <si>
    <t>B-Jugend</t>
  </si>
  <si>
    <t>SVM Senioren II</t>
  </si>
  <si>
    <t>Eifelboyz</t>
  </si>
  <si>
    <t>A-Jugend (m)</t>
  </si>
  <si>
    <t>A-Jugend (w)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</si>
</sst>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&quot;.&quot;"/>
    <numFmt numFmtId="179" formatCode="0\ &quot;:&quot;"/>
    <numFmt numFmtId="180" formatCode=";;;"/>
    <numFmt numFmtId="181" formatCode="0\ &quot;min&quot;"/>
    <numFmt numFmtId="182" formatCode="0;;\ &quot;min&quot;"/>
    <numFmt numFmtId="183" formatCode="[$-F800]dddd\,\ mmmm\ dd\,\ yyyy"/>
    <numFmt numFmtId="184" formatCode="&quot;Am&quot;\ dddd\,\ dd/\ mmmm\ yyyy"/>
    <numFmt numFmtId="185" formatCode="[=0]&quot;&quot;;0\ &quot;min&quot;"/>
    <numFmt numFmtId="186" formatCode="0.0"/>
    <numFmt numFmtId="187" formatCode="0.00000"/>
  </numFmts>
  <fonts count="73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9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sz val="11"/>
      <color indexed="9"/>
      <name val="Arial"/>
      <family val="0"/>
    </font>
    <font>
      <b/>
      <sz val="11"/>
      <color indexed="8"/>
      <name val="Arial"/>
      <family val="0"/>
    </font>
    <font>
      <b/>
      <u val="single"/>
      <sz val="11"/>
      <name val="Arial"/>
      <family val="0"/>
    </font>
    <font>
      <sz val="11"/>
      <color indexed="23"/>
      <name val="Arial"/>
      <family val="0"/>
    </font>
    <font>
      <sz val="11"/>
      <color indexed="63"/>
      <name val="Arial"/>
      <family val="0"/>
    </font>
    <font>
      <b/>
      <sz val="14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2"/>
    </font>
    <font>
      <sz val="11"/>
      <color indexed="22"/>
      <name val="Comic Sans MS"/>
      <family val="4"/>
    </font>
    <font>
      <b/>
      <u val="single"/>
      <sz val="12"/>
      <name val="Arial"/>
      <family val="0"/>
    </font>
    <font>
      <sz val="12"/>
      <color indexed="23"/>
      <name val="Arial"/>
      <family val="0"/>
    </font>
    <font>
      <b/>
      <sz val="12"/>
      <color indexed="8"/>
      <name val="Arial"/>
      <family val="2"/>
    </font>
    <font>
      <sz val="12"/>
      <color indexed="63"/>
      <name val="Arial"/>
      <family val="0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3" borderId="9" applyNumberFormat="0" applyAlignment="0" applyProtection="0"/>
  </cellStyleXfs>
  <cellXfs count="64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184" fontId="1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82" fontId="1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82" fontId="15" fillId="0" borderId="0" xfId="0" applyNumberFormat="1" applyFont="1" applyAlignment="1" applyProtection="1">
      <alignment vertical="center"/>
      <protection hidden="1"/>
    </xf>
    <xf numFmtId="182" fontId="16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180" fontId="11" fillId="0" borderId="0" xfId="0" applyNumberFormat="1" applyFont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6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84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182" fontId="33" fillId="0" borderId="0" xfId="0" applyNumberFormat="1" applyFont="1" applyAlignment="1" applyProtection="1">
      <alignment vertical="center"/>
      <protection hidden="1"/>
    </xf>
    <xf numFmtId="182" fontId="34" fillId="0" borderId="0" xfId="0" applyNumberFormat="1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174" fontId="10" fillId="0" borderId="0" xfId="0" applyNumberFormat="1" applyFont="1" applyFill="1" applyBorder="1" applyAlignment="1" applyProtection="1">
      <alignment horizontal="center" vertical="center"/>
      <protection hidden="1"/>
    </xf>
    <xf numFmtId="179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0" fontId="17" fillId="0" borderId="0" xfId="0" applyNumberFormat="1" applyFont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8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1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176" fontId="17" fillId="0" borderId="0" xfId="0" applyNumberFormat="1" applyFont="1" applyBorder="1" applyAlignment="1" applyProtection="1">
      <alignment horizontal="center" vertical="center"/>
      <protection hidden="1"/>
    </xf>
    <xf numFmtId="174" fontId="14" fillId="0" borderId="0" xfId="0" applyNumberFormat="1" applyFont="1" applyFill="1" applyBorder="1" applyAlignment="1" applyProtection="1">
      <alignment horizontal="center" vertical="center"/>
      <protection hidden="1"/>
    </xf>
    <xf numFmtId="179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horizontal="left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justify"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5" xfId="53" applyFont="1" applyFill="1" applyBorder="1" applyAlignment="1" applyProtection="1">
      <alignment horizontal="center" textRotation="90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textRotation="90"/>
      <protection/>
    </xf>
    <xf numFmtId="0" fontId="0" fillId="0" borderId="0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5" xfId="53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53" applyFont="1" applyFill="1" applyProtection="1">
      <alignment/>
      <protection/>
    </xf>
    <xf numFmtId="0" fontId="0" fillId="0" borderId="15" xfId="0" applyBorder="1" applyAlignment="1">
      <alignment/>
    </xf>
    <xf numFmtId="0" fontId="0" fillId="0" borderId="16" xfId="53" applyFont="1" applyFill="1" applyBorder="1" applyAlignment="1" applyProtection="1">
      <alignment horizontal="left"/>
      <protection/>
    </xf>
    <xf numFmtId="0" fontId="0" fillId="34" borderId="15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186" fontId="0" fillId="0" borderId="15" xfId="53" applyNumberFormat="1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187" fontId="0" fillId="0" borderId="15" xfId="53" applyNumberFormat="1" applyFont="1" applyFill="1" applyBorder="1" applyProtection="1">
      <alignment/>
      <protection/>
    </xf>
    <xf numFmtId="1" fontId="0" fillId="0" borderId="0" xfId="53" applyNumberFormat="1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left"/>
      <protection/>
    </xf>
    <xf numFmtId="0" fontId="0" fillId="0" borderId="17" xfId="53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righ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8" xfId="53" applyFont="1" applyFill="1" applyBorder="1" applyAlignment="1" applyProtection="1">
      <alignment horizontal="left"/>
      <protection/>
    </xf>
    <xf numFmtId="0" fontId="0" fillId="0" borderId="18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/>
      <protection hidden="1"/>
    </xf>
    <xf numFmtId="0" fontId="0" fillId="0" borderId="0" xfId="53" applyFont="1" applyFill="1" applyAlignment="1" applyProtection="1">
      <alignment textRotation="90"/>
      <protection/>
    </xf>
    <xf numFmtId="187" fontId="26" fillId="0" borderId="0" xfId="0" applyNumberFormat="1" applyFont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3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22" xfId="0" applyFont="1" applyBorder="1" applyAlignment="1" applyProtection="1">
      <alignment horizontal="left" vertical="center" shrinkToFit="1"/>
      <protection locked="0"/>
    </xf>
    <xf numFmtId="0" fontId="17" fillId="0" borderId="23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24" xfId="0" applyFont="1" applyBorder="1" applyAlignment="1" applyProtection="1">
      <alignment horizontal="left" vertical="center" shrinkToFit="1"/>
      <protection locked="0"/>
    </xf>
    <xf numFmtId="0" fontId="17" fillId="0" borderId="25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26" xfId="0" applyFont="1" applyBorder="1" applyAlignment="1" applyProtection="1">
      <alignment horizontal="left" vertical="center" shrinkToFit="1"/>
      <protection locked="0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locked="0"/>
    </xf>
    <xf numFmtId="20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24" xfId="0" applyFont="1" applyFill="1" applyBorder="1" applyAlignment="1" applyProtection="1">
      <alignment horizontal="center" vertical="center" shrinkToFit="1"/>
      <protection locked="0"/>
    </xf>
    <xf numFmtId="0" fontId="14" fillId="32" borderId="27" xfId="0" applyFont="1" applyFill="1" applyBorder="1" applyAlignment="1" applyProtection="1">
      <alignment horizontal="center" vertical="center"/>
      <protection hidden="1"/>
    </xf>
    <xf numFmtId="0" fontId="14" fillId="32" borderId="28" xfId="0" applyFont="1" applyFill="1" applyBorder="1" applyAlignment="1" applyProtection="1">
      <alignment horizontal="center" vertical="center"/>
      <protection hidden="1"/>
    </xf>
    <xf numFmtId="0" fontId="14" fillId="32" borderId="29" xfId="0" applyFont="1" applyFill="1" applyBorder="1" applyAlignment="1" applyProtection="1">
      <alignment horizontal="center" vertical="center"/>
      <protection hidden="1"/>
    </xf>
    <xf numFmtId="0" fontId="17" fillId="0" borderId="25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26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26" xfId="0" applyFont="1" applyFill="1" applyBorder="1" applyAlignment="1" applyProtection="1">
      <alignment horizontal="center" vertical="center" shrinkToFit="1"/>
      <protection locked="0"/>
    </xf>
    <xf numFmtId="179" fontId="17" fillId="0" borderId="30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12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31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14" fillId="32" borderId="32" xfId="0" applyFont="1" applyFill="1" applyBorder="1" applyAlignment="1" applyProtection="1">
      <alignment horizontal="center" vertical="center"/>
      <protection hidden="1"/>
    </xf>
    <xf numFmtId="0" fontId="14" fillId="32" borderId="33" xfId="0" applyFont="1" applyFill="1" applyBorder="1" applyAlignment="1" applyProtection="1">
      <alignment horizontal="center" vertical="center"/>
      <protection hidden="1"/>
    </xf>
    <xf numFmtId="0" fontId="14" fillId="35" borderId="27" xfId="0" applyFont="1" applyFill="1" applyBorder="1" applyAlignment="1" applyProtection="1">
      <alignment horizontal="center" vertical="center" shrinkToFit="1"/>
      <protection hidden="1"/>
    </xf>
    <xf numFmtId="0" fontId="14" fillId="35" borderId="28" xfId="0" applyFont="1" applyFill="1" applyBorder="1" applyAlignment="1" applyProtection="1">
      <alignment horizontal="center" vertical="center" shrinkToFit="1"/>
      <protection hidden="1"/>
    </xf>
    <xf numFmtId="0" fontId="14" fillId="35" borderId="29" xfId="0" applyFont="1" applyFill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left" vertical="center" shrinkToFit="1"/>
      <protection hidden="1"/>
    </xf>
    <xf numFmtId="0" fontId="17" fillId="0" borderId="35" xfId="0" applyFont="1" applyBorder="1" applyAlignment="1" applyProtection="1">
      <alignment horizontal="left" vertical="center" shrinkToFit="1"/>
      <protection hidden="1"/>
    </xf>
    <xf numFmtId="0" fontId="17" fillId="0" borderId="36" xfId="0" applyFont="1" applyBorder="1" applyAlignment="1" applyProtection="1">
      <alignment horizontal="left" vertical="center" shrinkToFit="1"/>
      <protection hidden="1"/>
    </xf>
    <xf numFmtId="0" fontId="17" fillId="0" borderId="37" xfId="0" applyFont="1" applyBorder="1" applyAlignment="1" applyProtection="1">
      <alignment horizontal="left" vertical="center" shrinkToFit="1"/>
      <protection hidden="1"/>
    </xf>
    <xf numFmtId="0" fontId="17" fillId="0" borderId="38" xfId="0" applyFont="1" applyBorder="1" applyAlignment="1" applyProtection="1">
      <alignment horizontal="left" vertical="center" shrinkToFit="1"/>
      <protection hidden="1"/>
    </xf>
    <xf numFmtId="0" fontId="17" fillId="0" borderId="39" xfId="0" applyFont="1" applyBorder="1" applyAlignment="1" applyProtection="1">
      <alignment horizontal="left" vertical="center" shrinkToFit="1"/>
      <protection hidden="1"/>
    </xf>
    <xf numFmtId="178" fontId="17" fillId="0" borderId="23" xfId="0" applyNumberFormat="1" applyFont="1" applyBorder="1" applyAlignment="1" applyProtection="1">
      <alignment horizontal="center" vertical="center" shrinkToFit="1"/>
      <protection hidden="1"/>
    </xf>
    <xf numFmtId="178" fontId="17" fillId="0" borderId="11" xfId="0" applyNumberFormat="1" applyFont="1" applyBorder="1" applyAlignment="1" applyProtection="1">
      <alignment horizontal="center" vertical="center" shrinkToFit="1"/>
      <protection hidden="1"/>
    </xf>
    <xf numFmtId="0" fontId="14" fillId="35" borderId="40" xfId="0" applyFont="1" applyFill="1" applyBorder="1" applyAlignment="1" applyProtection="1">
      <alignment horizontal="center" textRotation="90"/>
      <protection hidden="1"/>
    </xf>
    <xf numFmtId="0" fontId="14" fillId="35" borderId="41" xfId="0" applyFont="1" applyFill="1" applyBorder="1" applyAlignment="1" applyProtection="1">
      <alignment horizontal="center" textRotation="90"/>
      <protection hidden="1"/>
    </xf>
    <xf numFmtId="0" fontId="14" fillId="35" borderId="42" xfId="0" applyFont="1" applyFill="1" applyBorder="1" applyAlignment="1" applyProtection="1">
      <alignment horizontal="center" textRotation="90"/>
      <protection hidden="1"/>
    </xf>
    <xf numFmtId="0" fontId="14" fillId="35" borderId="10" xfId="0" applyFont="1" applyFill="1" applyBorder="1" applyAlignment="1" applyProtection="1">
      <alignment horizontal="center" textRotation="90"/>
      <protection hidden="1"/>
    </xf>
    <xf numFmtId="0" fontId="14" fillId="35" borderId="0" xfId="0" applyFont="1" applyFill="1" applyBorder="1" applyAlignment="1" applyProtection="1">
      <alignment horizontal="center" textRotation="90"/>
      <protection hidden="1"/>
    </xf>
    <xf numFmtId="0" fontId="14" fillId="35" borderId="43" xfId="0" applyFont="1" applyFill="1" applyBorder="1" applyAlignment="1" applyProtection="1">
      <alignment horizontal="center" textRotation="90"/>
      <protection hidden="1"/>
    </xf>
    <xf numFmtId="0" fontId="14" fillId="35" borderId="44" xfId="0" applyFont="1" applyFill="1" applyBorder="1" applyAlignment="1" applyProtection="1">
      <alignment horizontal="center" textRotation="90"/>
      <protection hidden="1"/>
    </xf>
    <xf numFmtId="0" fontId="14" fillId="35" borderId="14" xfId="0" applyFont="1" applyFill="1" applyBorder="1" applyAlignment="1" applyProtection="1">
      <alignment horizontal="center" textRotation="90"/>
      <protection hidden="1"/>
    </xf>
    <xf numFmtId="0" fontId="14" fillId="35" borderId="45" xfId="0" applyFont="1" applyFill="1" applyBorder="1" applyAlignment="1" applyProtection="1">
      <alignment horizontal="center" textRotation="90"/>
      <protection hidden="1"/>
    </xf>
    <xf numFmtId="0" fontId="14" fillId="36" borderId="46" xfId="0" applyFont="1" applyFill="1" applyBorder="1" applyAlignment="1" applyProtection="1">
      <alignment horizontal="center" textRotation="90" shrinkToFit="1"/>
      <protection hidden="1"/>
    </xf>
    <xf numFmtId="0" fontId="14" fillId="36" borderId="47" xfId="0" applyFont="1" applyFill="1" applyBorder="1" applyAlignment="1" applyProtection="1">
      <alignment horizontal="center" textRotation="90" shrinkToFit="1"/>
      <protection hidden="1"/>
    </xf>
    <xf numFmtId="0" fontId="14" fillId="36" borderId="17" xfId="0" applyFont="1" applyFill="1" applyBorder="1" applyAlignment="1" applyProtection="1">
      <alignment horizontal="center" textRotation="90" shrinkToFit="1"/>
      <protection hidden="1"/>
    </xf>
    <xf numFmtId="0" fontId="14" fillId="36" borderId="48" xfId="0" applyFont="1" applyFill="1" applyBorder="1" applyAlignment="1" applyProtection="1">
      <alignment horizontal="center" textRotation="90" shrinkToFit="1"/>
      <protection hidden="1"/>
    </xf>
    <xf numFmtId="0" fontId="14" fillId="36" borderId="49" xfId="0" applyFont="1" applyFill="1" applyBorder="1" applyAlignment="1" applyProtection="1">
      <alignment horizontal="center" textRotation="90" shrinkToFit="1"/>
      <protection hidden="1"/>
    </xf>
    <xf numFmtId="0" fontId="14" fillId="36" borderId="50" xfId="0" applyFont="1" applyFill="1" applyBorder="1" applyAlignment="1" applyProtection="1">
      <alignment horizontal="center" textRotation="90" shrinkToFit="1"/>
      <protection hidden="1"/>
    </xf>
    <xf numFmtId="0" fontId="14" fillId="35" borderId="51" xfId="0" applyFont="1" applyFill="1" applyBorder="1" applyAlignment="1" applyProtection="1">
      <alignment horizontal="center" textRotation="90"/>
      <protection hidden="1"/>
    </xf>
    <xf numFmtId="0" fontId="14" fillId="35" borderId="52" xfId="0" applyFont="1" applyFill="1" applyBorder="1" applyAlignment="1" applyProtection="1">
      <alignment horizontal="center" textRotation="90"/>
      <protection hidden="1"/>
    </xf>
    <xf numFmtId="0" fontId="14" fillId="35" borderId="53" xfId="0" applyFont="1" applyFill="1" applyBorder="1" applyAlignment="1" applyProtection="1">
      <alignment horizontal="center" textRotation="90"/>
      <protection hidden="1"/>
    </xf>
    <xf numFmtId="0" fontId="14" fillId="35" borderId="54" xfId="0" applyFont="1" applyFill="1" applyBorder="1" applyAlignment="1" applyProtection="1">
      <alignment horizontal="center" textRotation="90"/>
      <protection hidden="1"/>
    </xf>
    <xf numFmtId="0" fontId="14" fillId="35" borderId="55" xfId="0" applyFont="1" applyFill="1" applyBorder="1" applyAlignment="1" applyProtection="1">
      <alignment horizontal="center" textRotation="90"/>
      <protection hidden="1"/>
    </xf>
    <xf numFmtId="0" fontId="14" fillId="35" borderId="56" xfId="0" applyFont="1" applyFill="1" applyBorder="1" applyAlignment="1" applyProtection="1">
      <alignment horizontal="center" textRotation="90"/>
      <protection hidden="1"/>
    </xf>
    <xf numFmtId="0" fontId="17" fillId="0" borderId="57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7" fillId="34" borderId="15" xfId="0" applyFont="1" applyFill="1" applyBorder="1" applyAlignment="1" applyProtection="1">
      <alignment horizontal="center" vertical="center" shrinkToFit="1"/>
      <protection hidden="1"/>
    </xf>
    <xf numFmtId="0" fontId="17" fillId="0" borderId="36" xfId="0" applyFont="1" applyBorder="1" applyAlignment="1" applyProtection="1">
      <alignment horizontal="center" vertical="center" shrinkToFit="1"/>
      <protection hidden="1"/>
    </xf>
    <xf numFmtId="0" fontId="17" fillId="0" borderId="37" xfId="0" applyFont="1" applyBorder="1" applyAlignment="1" applyProtection="1">
      <alignment horizontal="center" vertical="center" shrinkToFit="1"/>
      <protection hidden="1"/>
    </xf>
    <xf numFmtId="0" fontId="17" fillId="34" borderId="34" xfId="0" applyFont="1" applyFill="1" applyBorder="1" applyAlignment="1" applyProtection="1">
      <alignment horizontal="center" vertical="center" shrinkToFit="1"/>
      <protection hidden="1"/>
    </xf>
    <xf numFmtId="0" fontId="17" fillId="34" borderId="35" xfId="0" applyFont="1" applyFill="1" applyBorder="1" applyAlignment="1" applyProtection="1">
      <alignment horizontal="center" vertical="center" shrinkToFit="1"/>
      <protection hidden="1"/>
    </xf>
    <xf numFmtId="0" fontId="17" fillId="0" borderId="38" xfId="0" applyFont="1" applyBorder="1" applyAlignment="1" applyProtection="1">
      <alignment horizontal="center" vertical="center" shrinkToFit="1"/>
      <protection hidden="1"/>
    </xf>
    <xf numFmtId="0" fontId="17" fillId="0" borderId="39" xfId="0" applyFont="1" applyBorder="1" applyAlignment="1" applyProtection="1">
      <alignment horizontal="center" vertical="center" shrinkToFit="1"/>
      <protection hidden="1"/>
    </xf>
    <xf numFmtId="0" fontId="17" fillId="0" borderId="58" xfId="0" applyFont="1" applyBorder="1" applyAlignment="1" applyProtection="1">
      <alignment horizontal="center" vertical="center" shrinkToFit="1"/>
      <protection hidden="1"/>
    </xf>
    <xf numFmtId="0" fontId="17" fillId="0" borderId="59" xfId="0" applyFont="1" applyBorder="1" applyAlignment="1" applyProtection="1">
      <alignment horizontal="center" vertical="center" shrinkToFit="1"/>
      <protection hidden="1"/>
    </xf>
    <xf numFmtId="0" fontId="17" fillId="34" borderId="39" xfId="0" applyFont="1" applyFill="1" applyBorder="1" applyAlignment="1" applyProtection="1">
      <alignment horizontal="center" vertical="center" shrinkToFit="1"/>
      <protection hidden="1"/>
    </xf>
    <xf numFmtId="0" fontId="17" fillId="34" borderId="60" xfId="0" applyFont="1" applyFill="1" applyBorder="1" applyAlignment="1" applyProtection="1">
      <alignment horizontal="center" vertical="center" shrinkToFit="1"/>
      <protection hidden="1"/>
    </xf>
    <xf numFmtId="0" fontId="17" fillId="0" borderId="35" xfId="0" applyFont="1" applyBorder="1" applyAlignment="1" applyProtection="1">
      <alignment horizontal="center" vertical="center" shrinkToFit="1"/>
      <protection hidden="1"/>
    </xf>
    <xf numFmtId="0" fontId="17" fillId="0" borderId="61" xfId="0" applyFont="1" applyBorder="1" applyAlignment="1" applyProtection="1">
      <alignment horizontal="center" vertical="center" shrinkToFit="1"/>
      <protection hidden="1"/>
    </xf>
    <xf numFmtId="0" fontId="14" fillId="36" borderId="62" xfId="0" applyFont="1" applyFill="1" applyBorder="1" applyAlignment="1" applyProtection="1">
      <alignment horizontal="center" textRotation="90" shrinkToFit="1"/>
      <protection hidden="1"/>
    </xf>
    <xf numFmtId="0" fontId="14" fillId="36" borderId="63" xfId="0" applyFont="1" applyFill="1" applyBorder="1" applyAlignment="1" applyProtection="1">
      <alignment horizontal="center" textRotation="90" shrinkToFit="1"/>
      <protection hidden="1"/>
    </xf>
    <xf numFmtId="0" fontId="14" fillId="36" borderId="64" xfId="0" applyFont="1" applyFill="1" applyBorder="1" applyAlignment="1" applyProtection="1">
      <alignment horizontal="center" textRotation="90" shrinkToFit="1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84" fontId="14" fillId="0" borderId="0" xfId="0" applyNumberFormat="1" applyFont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65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66" xfId="0" applyFont="1" applyFill="1" applyBorder="1" applyAlignment="1" applyProtection="1">
      <alignment horizontal="left" vertical="center" shrinkToFit="1"/>
      <protection hidden="1"/>
    </xf>
    <xf numFmtId="0" fontId="17" fillId="0" borderId="31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0" fontId="17" fillId="0" borderId="61" xfId="0" applyFont="1" applyFill="1" applyBorder="1" applyAlignment="1" applyProtection="1">
      <alignment horizontal="center" vertical="center" shrinkToFit="1"/>
      <protection hidden="1"/>
    </xf>
    <xf numFmtId="0" fontId="17" fillId="0" borderId="57" xfId="0" applyFont="1" applyFill="1" applyBorder="1" applyAlignment="1" applyProtection="1">
      <alignment horizontal="center" vertical="center" shrinkToFit="1"/>
      <protection hidden="1"/>
    </xf>
    <xf numFmtId="0" fontId="17" fillId="0" borderId="60" xfId="0" applyFont="1" applyFill="1" applyBorder="1" applyAlignment="1" applyProtection="1">
      <alignment horizontal="center" vertical="center" shrinkToFit="1"/>
      <protection hidden="1"/>
    </xf>
    <xf numFmtId="0" fontId="17" fillId="0" borderId="58" xfId="0" applyFont="1" applyFill="1" applyBorder="1" applyAlignment="1" applyProtection="1">
      <alignment horizontal="center" vertical="center" shrinkToFit="1"/>
      <protection hidden="1"/>
    </xf>
    <xf numFmtId="0" fontId="14" fillId="34" borderId="15" xfId="0" applyFont="1" applyFill="1" applyBorder="1" applyAlignment="1" applyProtection="1">
      <alignment horizontal="center" vertical="center"/>
      <protection locked="0"/>
    </xf>
    <xf numFmtId="0" fontId="23" fillId="0" borderId="67" xfId="0" applyFont="1" applyBorder="1" applyAlignment="1" applyProtection="1">
      <alignment horizontal="center" vertical="center"/>
      <protection hidden="1"/>
    </xf>
    <xf numFmtId="0" fontId="23" fillId="0" borderId="68" xfId="0" applyFont="1" applyBorder="1" applyAlignment="1" applyProtection="1">
      <alignment horizontal="center" vertical="center"/>
      <protection hidden="1"/>
    </xf>
    <xf numFmtId="0" fontId="23" fillId="0" borderId="69" xfId="0" applyFont="1" applyBorder="1" applyAlignment="1" applyProtection="1">
      <alignment horizontal="center" vertical="center"/>
      <protection hidden="1"/>
    </xf>
    <xf numFmtId="0" fontId="23" fillId="0" borderId="70" xfId="0" applyFont="1" applyBorder="1" applyAlignment="1" applyProtection="1">
      <alignment horizontal="center" vertical="center"/>
      <protection hidden="1"/>
    </xf>
    <xf numFmtId="0" fontId="23" fillId="0" borderId="71" xfId="0" applyFont="1" applyBorder="1" applyAlignment="1" applyProtection="1">
      <alignment horizontal="center" vertical="center"/>
      <protection hidden="1"/>
    </xf>
    <xf numFmtId="0" fontId="23" fillId="0" borderId="72" xfId="0" applyFont="1" applyBorder="1" applyAlignment="1" applyProtection="1">
      <alignment horizontal="center" vertical="center"/>
      <protection hidden="1"/>
    </xf>
    <xf numFmtId="0" fontId="14" fillId="34" borderId="33" xfId="0" applyFont="1" applyFill="1" applyBorder="1" applyAlignment="1" applyProtection="1">
      <alignment horizontal="center" vertical="center"/>
      <protection hidden="1"/>
    </xf>
    <xf numFmtId="0" fontId="14" fillId="34" borderId="28" xfId="0" applyFont="1" applyFill="1" applyBorder="1" applyAlignment="1" applyProtection="1">
      <alignment horizontal="center" vertical="center"/>
      <protection hidden="1"/>
    </xf>
    <xf numFmtId="179" fontId="17" fillId="0" borderId="51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41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41" xfId="0" applyFont="1" applyFill="1" applyBorder="1" applyAlignment="1" applyProtection="1">
      <alignment horizontal="center" vertical="center" shrinkToFit="1"/>
      <protection locked="0"/>
    </xf>
    <xf numFmtId="0" fontId="17" fillId="0" borderId="73" xfId="0" applyFont="1" applyFill="1" applyBorder="1" applyAlignment="1" applyProtection="1">
      <alignment horizontal="left" vertical="center" shrinkToFit="1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7" fillId="0" borderId="74" xfId="0" applyFont="1" applyFill="1" applyBorder="1" applyAlignment="1" applyProtection="1">
      <alignment horizontal="left" vertical="center" shrinkToFit="1"/>
      <protection hidden="1"/>
    </xf>
    <xf numFmtId="0" fontId="14" fillId="37" borderId="33" xfId="0" applyFont="1" applyFill="1" applyBorder="1" applyAlignment="1" applyProtection="1">
      <alignment horizontal="center" vertical="center"/>
      <protection hidden="1"/>
    </xf>
    <xf numFmtId="0" fontId="14" fillId="37" borderId="28" xfId="0" applyFont="1" applyFill="1" applyBorder="1" applyAlignment="1" applyProtection="1">
      <alignment horizontal="center" vertical="center"/>
      <protection hidden="1"/>
    </xf>
    <xf numFmtId="0" fontId="14" fillId="37" borderId="75" xfId="0" applyFont="1" applyFill="1" applyBorder="1" applyAlignment="1" applyProtection="1">
      <alignment horizontal="center" vertical="center"/>
      <protection hidden="1"/>
    </xf>
    <xf numFmtId="0" fontId="14" fillId="0" borderId="62" xfId="0" applyFont="1" applyFill="1" applyBorder="1" applyAlignment="1" applyProtection="1">
      <alignment horizontal="center" vertical="center"/>
      <protection hidden="1"/>
    </xf>
    <xf numFmtId="0" fontId="14" fillId="0" borderId="46" xfId="0" applyFont="1" applyFill="1" applyBorder="1" applyAlignment="1" applyProtection="1">
      <alignment horizontal="center" vertical="center"/>
      <protection hidden="1"/>
    </xf>
    <xf numFmtId="0" fontId="14" fillId="0" borderId="64" xfId="0" applyFont="1" applyFill="1" applyBorder="1" applyAlignment="1" applyProtection="1">
      <alignment horizontal="center" vertical="center"/>
      <protection hidden="1"/>
    </xf>
    <xf numFmtId="0" fontId="14" fillId="0" borderId="49" xfId="0" applyFont="1" applyFill="1" applyBorder="1" applyAlignment="1" applyProtection="1">
      <alignment horizontal="center" vertical="center"/>
      <protection hidden="1"/>
    </xf>
    <xf numFmtId="0" fontId="14" fillId="37" borderId="76" xfId="0" applyFont="1" applyFill="1" applyBorder="1" applyAlignment="1" applyProtection="1">
      <alignment horizontal="center" vertical="center"/>
      <protection hidden="1"/>
    </xf>
    <xf numFmtId="0" fontId="14" fillId="37" borderId="32" xfId="0" applyFont="1" applyFill="1" applyBorder="1" applyAlignment="1" applyProtection="1">
      <alignment horizontal="center" vertical="center"/>
      <protection hidden="1"/>
    </xf>
    <xf numFmtId="0" fontId="14" fillId="32" borderId="76" xfId="0" applyFont="1" applyFill="1" applyBorder="1" applyAlignment="1" applyProtection="1">
      <alignment horizontal="center" vertical="center"/>
      <protection hidden="1"/>
    </xf>
    <xf numFmtId="0" fontId="14" fillId="38" borderId="76" xfId="0" applyFont="1" applyFill="1" applyBorder="1" applyAlignment="1" applyProtection="1">
      <alignment horizontal="center" vertical="center"/>
      <protection hidden="1"/>
    </xf>
    <xf numFmtId="0" fontId="14" fillId="38" borderId="32" xfId="0" applyFont="1" applyFill="1" applyBorder="1" applyAlignment="1" applyProtection="1">
      <alignment horizontal="center" vertical="center"/>
      <protection hidden="1"/>
    </xf>
    <xf numFmtId="0" fontId="14" fillId="34" borderId="76" xfId="0" applyFont="1" applyFill="1" applyBorder="1" applyAlignment="1" applyProtection="1">
      <alignment horizontal="center" vertical="center"/>
      <protection hidden="1"/>
    </xf>
    <xf numFmtId="0" fontId="14" fillId="34" borderId="32" xfId="0" applyFont="1" applyFill="1" applyBorder="1" applyAlignment="1" applyProtection="1">
      <alignment horizontal="center" vertical="center"/>
      <protection hidden="1"/>
    </xf>
    <xf numFmtId="0" fontId="14" fillId="34" borderId="75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7" fillId="0" borderId="77" xfId="0" applyFont="1" applyFill="1" applyBorder="1" applyAlignment="1" applyProtection="1">
      <alignment horizontal="center" vertical="center" shrinkToFit="1"/>
      <protection hidden="1"/>
    </xf>
    <xf numFmtId="0" fontId="17" fillId="0" borderId="18" xfId="0" applyFont="1" applyFill="1" applyBorder="1" applyAlignment="1" applyProtection="1">
      <alignment horizontal="center" vertical="center" shrinkToFit="1"/>
      <protection hidden="1"/>
    </xf>
    <xf numFmtId="174" fontId="17" fillId="0" borderId="3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65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30" xfId="0" applyFont="1" applyFill="1" applyBorder="1" applyAlignment="1" applyProtection="1">
      <alignment horizontal="left" vertical="center" shrinkToFit="1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36" borderId="27" xfId="0" applyFont="1" applyFill="1" applyBorder="1" applyAlignment="1" applyProtection="1">
      <alignment horizontal="center" vertical="center"/>
      <protection hidden="1"/>
    </xf>
    <xf numFmtId="0" fontId="14" fillId="36" borderId="28" xfId="0" applyFont="1" applyFill="1" applyBorder="1" applyAlignment="1" applyProtection="1">
      <alignment horizontal="center" vertical="center"/>
      <protection hidden="1"/>
    </xf>
    <xf numFmtId="0" fontId="14" fillId="36" borderId="29" xfId="0" applyFont="1" applyFill="1" applyBorder="1" applyAlignment="1" applyProtection="1">
      <alignment horizontal="center" vertical="center"/>
      <protection hidden="1"/>
    </xf>
    <xf numFmtId="0" fontId="14" fillId="35" borderId="27" xfId="0" applyFont="1" applyFill="1" applyBorder="1" applyAlignment="1" applyProtection="1">
      <alignment horizontal="center" vertical="center"/>
      <protection hidden="1"/>
    </xf>
    <xf numFmtId="0" fontId="14" fillId="35" borderId="28" xfId="0" applyFont="1" applyFill="1" applyBorder="1" applyAlignment="1" applyProtection="1">
      <alignment horizontal="center" vertical="center"/>
      <protection hidden="1"/>
    </xf>
    <xf numFmtId="0" fontId="14" fillId="35" borderId="29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74" fontId="17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73" xfId="0" applyNumberFormat="1" applyFont="1" applyFill="1" applyBorder="1" applyAlignment="1" applyProtection="1">
      <alignment horizontal="center" vertical="center" shrinkToFit="1"/>
      <protection hidden="1"/>
    </xf>
    <xf numFmtId="1" fontId="17" fillId="0" borderId="49" xfId="0" applyNumberFormat="1" applyFont="1" applyBorder="1" applyAlignment="1" applyProtection="1">
      <alignment horizontal="center" vertical="center" shrinkToFit="1"/>
      <protection hidden="1"/>
    </xf>
    <xf numFmtId="1" fontId="17" fillId="0" borderId="55" xfId="0" applyNumberFormat="1" applyFont="1" applyBorder="1" applyAlignment="1" applyProtection="1">
      <alignment horizontal="center" vertical="center" shrinkToFit="1"/>
      <protection hidden="1"/>
    </xf>
    <xf numFmtId="0" fontId="17" fillId="0" borderId="78" xfId="0" applyFont="1" applyBorder="1" applyAlignment="1" applyProtection="1">
      <alignment horizontal="center" vertical="center" shrinkToFit="1"/>
      <protection hidden="1"/>
    </xf>
    <xf numFmtId="1" fontId="17" fillId="0" borderId="15" xfId="0" applyNumberFormat="1" applyFont="1" applyBorder="1" applyAlignment="1" applyProtection="1">
      <alignment horizontal="center" vertical="center" shrinkToFit="1"/>
      <protection hidden="1"/>
    </xf>
    <xf numFmtId="1" fontId="17" fillId="0" borderId="19" xfId="0" applyNumberFormat="1" applyFont="1" applyBorder="1" applyAlignment="1" applyProtection="1">
      <alignment horizontal="center" vertical="center" shrinkToFit="1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45" xfId="0" applyFont="1" applyBorder="1" applyAlignment="1" applyProtection="1">
      <alignment horizontal="center" vertical="center" shrinkToFit="1"/>
      <protection hidden="1"/>
    </xf>
    <xf numFmtId="0" fontId="17" fillId="0" borderId="49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4" fillId="36" borderId="32" xfId="0" applyFont="1" applyFill="1" applyBorder="1" applyAlignment="1" applyProtection="1">
      <alignment horizontal="center" vertical="center" shrinkToFit="1"/>
      <protection hidden="1"/>
    </xf>
    <xf numFmtId="0" fontId="17" fillId="0" borderId="30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65" xfId="0" applyFont="1" applyBorder="1" applyAlignment="1" applyProtection="1">
      <alignment horizontal="center" vertical="center" shrinkToFit="1"/>
      <protection hidden="1"/>
    </xf>
    <xf numFmtId="0" fontId="17" fillId="0" borderId="74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66" xfId="0" applyFont="1" applyBorder="1" applyAlignment="1" applyProtection="1">
      <alignment horizontal="center" vertical="center" shrinkToFit="1"/>
      <protection hidden="1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12" xfId="0" applyNumberFormat="1" applyFont="1" applyBorder="1" applyAlignment="1" applyProtection="1">
      <alignment horizontal="center" vertical="center" shrinkToFit="1"/>
      <protection hidden="1"/>
    </xf>
    <xf numFmtId="0" fontId="17" fillId="0" borderId="60" xfId="0" applyFont="1" applyBorder="1" applyAlignment="1" applyProtection="1">
      <alignment horizontal="center" vertical="center" shrinkToFit="1"/>
      <protection hidden="1"/>
    </xf>
    <xf numFmtId="178" fontId="17" fillId="0" borderId="21" xfId="0" applyNumberFormat="1" applyFont="1" applyBorder="1" applyAlignment="1" applyProtection="1">
      <alignment horizontal="center" vertical="center" shrinkToFit="1"/>
      <protection hidden="1"/>
    </xf>
    <xf numFmtId="178" fontId="17" fillId="0" borderId="13" xfId="0" applyNumberFormat="1" applyFont="1" applyBorder="1" applyAlignment="1" applyProtection="1">
      <alignment horizontal="center" vertical="center" shrinkToFit="1"/>
      <protection hidden="1"/>
    </xf>
    <xf numFmtId="0" fontId="14" fillId="36" borderId="75" xfId="0" applyFont="1" applyFill="1" applyBorder="1" applyAlignment="1" applyProtection="1">
      <alignment horizontal="center" vertical="center" shrinkToFit="1"/>
      <protection hidden="1"/>
    </xf>
    <xf numFmtId="0" fontId="17" fillId="0" borderId="24" xfId="0" applyFont="1" applyBorder="1" applyAlignment="1" applyProtection="1">
      <alignment horizontal="center" vertical="center" shrinkToFit="1"/>
      <protection hidden="1"/>
    </xf>
    <xf numFmtId="0" fontId="14" fillId="35" borderId="33" xfId="0" applyFont="1" applyFill="1" applyBorder="1" applyAlignment="1" applyProtection="1">
      <alignment horizontal="center" vertical="center" shrinkToFit="1"/>
      <protection hidden="1"/>
    </xf>
    <xf numFmtId="0" fontId="14" fillId="35" borderId="32" xfId="0" applyFont="1" applyFill="1" applyBorder="1" applyAlignment="1" applyProtection="1">
      <alignment horizontal="center" vertical="center" shrinkToFit="1"/>
      <protection hidden="1"/>
    </xf>
    <xf numFmtId="0" fontId="14" fillId="35" borderId="75" xfId="0" applyFont="1" applyFill="1" applyBorder="1" applyAlignment="1" applyProtection="1">
      <alignment horizontal="center" vertical="center" shrinkToFit="1"/>
      <protection hidden="1"/>
    </xf>
    <xf numFmtId="1" fontId="17" fillId="0" borderId="58" xfId="0" applyNumberFormat="1" applyFont="1" applyBorder="1" applyAlignment="1" applyProtection="1">
      <alignment horizontal="center" vertical="center" shrinkToFit="1"/>
      <protection hidden="1"/>
    </xf>
    <xf numFmtId="1" fontId="17" fillId="0" borderId="74" xfId="0" applyNumberFormat="1" applyFont="1" applyBorder="1" applyAlignment="1" applyProtection="1">
      <alignment horizontal="center" vertical="center" shrinkToFit="1"/>
      <protection hidden="1"/>
    </xf>
    <xf numFmtId="0" fontId="14" fillId="36" borderId="33" xfId="0" applyFont="1" applyFill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center" vertical="center" shrinkToFit="1"/>
      <protection hidden="1"/>
    </xf>
    <xf numFmtId="0" fontId="14" fillId="36" borderId="79" xfId="0" applyFont="1" applyFill="1" applyBorder="1" applyAlignment="1" applyProtection="1">
      <alignment horizontal="center" vertical="center" shrinkToFit="1"/>
      <protection hidden="1"/>
    </xf>
    <xf numFmtId="1" fontId="17" fillId="0" borderId="57" xfId="0" applyNumberFormat="1" applyFont="1" applyBorder="1" applyAlignment="1" applyProtection="1">
      <alignment horizontal="center" vertical="center" shrinkToFit="1"/>
      <protection hidden="1"/>
    </xf>
    <xf numFmtId="1" fontId="17" fillId="0" borderId="30" xfId="0" applyNumberFormat="1" applyFont="1" applyBorder="1" applyAlignment="1" applyProtection="1">
      <alignment horizontal="center" vertical="center" shrinkToFit="1"/>
      <protection hidden="1"/>
    </xf>
    <xf numFmtId="0" fontId="17" fillId="0" borderId="26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179" fontId="17" fillId="0" borderId="46" xfId="0" applyNumberFormat="1" applyFont="1" applyFill="1" applyBorder="1" applyAlignment="1" applyProtection="1">
      <alignment horizontal="right" vertical="center" shrinkToFit="1"/>
      <protection locked="0"/>
    </xf>
    <xf numFmtId="179" fontId="14" fillId="39" borderId="57" xfId="0" applyNumberFormat="1" applyFont="1" applyFill="1" applyBorder="1" applyAlignment="1" applyProtection="1">
      <alignment horizontal="center" vertical="center"/>
      <protection hidden="1"/>
    </xf>
    <xf numFmtId="179" fontId="14" fillId="39" borderId="30" xfId="0" applyNumberFormat="1" applyFont="1" applyFill="1" applyBorder="1" applyAlignment="1" applyProtection="1">
      <alignment horizontal="center" vertical="center"/>
      <protection hidden="1"/>
    </xf>
    <xf numFmtId="0" fontId="14" fillId="38" borderId="33" xfId="0" applyFont="1" applyFill="1" applyBorder="1" applyAlignment="1" applyProtection="1">
      <alignment horizontal="center" vertical="center"/>
      <protection hidden="1"/>
    </xf>
    <xf numFmtId="0" fontId="14" fillId="38" borderId="28" xfId="0" applyFont="1" applyFill="1" applyBorder="1" applyAlignment="1" applyProtection="1">
      <alignment horizontal="center" vertical="center"/>
      <protection hidden="1"/>
    </xf>
    <xf numFmtId="0" fontId="14" fillId="38" borderId="75" xfId="0" applyFont="1" applyFill="1" applyBorder="1" applyAlignment="1" applyProtection="1">
      <alignment horizontal="center" vertical="center"/>
      <protection hidden="1"/>
    </xf>
    <xf numFmtId="0" fontId="14" fillId="32" borderId="75" xfId="0" applyFont="1" applyFill="1" applyBorder="1" applyAlignment="1" applyProtection="1">
      <alignment horizontal="center" vertical="center"/>
      <protection hidden="1"/>
    </xf>
    <xf numFmtId="174" fontId="14" fillId="0" borderId="46" xfId="0" applyNumberFormat="1" applyFont="1" applyFill="1" applyBorder="1" applyAlignment="1" applyProtection="1">
      <alignment horizontal="center" vertical="center"/>
      <protection hidden="1"/>
    </xf>
    <xf numFmtId="174" fontId="14" fillId="0" borderId="49" xfId="0" applyNumberFormat="1" applyFont="1" applyFill="1" applyBorder="1" applyAlignment="1" applyProtection="1">
      <alignment horizontal="center" vertical="center"/>
      <protection hidden="1"/>
    </xf>
    <xf numFmtId="0" fontId="14" fillId="36" borderId="27" xfId="0" applyFont="1" applyFill="1" applyBorder="1" applyAlignment="1" applyProtection="1">
      <alignment horizontal="center" vertical="center" shrinkToFit="1"/>
      <protection hidden="1"/>
    </xf>
    <xf numFmtId="0" fontId="14" fillId="36" borderId="28" xfId="0" applyFont="1" applyFill="1" applyBorder="1" applyAlignment="1" applyProtection="1">
      <alignment horizontal="center" vertical="center" shrinkToFit="1"/>
      <protection hidden="1"/>
    </xf>
    <xf numFmtId="0" fontId="14" fillId="36" borderId="29" xfId="0" applyFont="1" applyFill="1" applyBorder="1" applyAlignment="1" applyProtection="1">
      <alignment horizontal="center" vertical="center" shrinkToFit="1"/>
      <protection hidden="1"/>
    </xf>
    <xf numFmtId="0" fontId="14" fillId="38" borderId="27" xfId="0" applyFont="1" applyFill="1" applyBorder="1" applyAlignment="1" applyProtection="1">
      <alignment horizontal="center" vertical="center"/>
      <protection hidden="1"/>
    </xf>
    <xf numFmtId="0" fontId="14" fillId="38" borderId="29" xfId="0" applyFont="1" applyFill="1" applyBorder="1" applyAlignment="1" applyProtection="1">
      <alignment horizontal="center" vertical="center"/>
      <protection hidden="1"/>
    </xf>
    <xf numFmtId="0" fontId="14" fillId="37" borderId="27" xfId="0" applyFont="1" applyFill="1" applyBorder="1" applyAlignment="1" applyProtection="1">
      <alignment horizontal="center" vertical="center"/>
      <protection hidden="1"/>
    </xf>
    <xf numFmtId="0" fontId="14" fillId="37" borderId="29" xfId="0" applyFont="1" applyFill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5" fontId="14" fillId="0" borderId="0" xfId="0" applyNumberFormat="1" applyFont="1" applyBorder="1" applyAlignment="1" applyProtection="1">
      <alignment horizontal="left" vertical="center"/>
      <protection hidden="1"/>
    </xf>
    <xf numFmtId="174" fontId="17" fillId="0" borderId="74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74" xfId="0" applyFont="1" applyBorder="1" applyAlignment="1" applyProtection="1">
      <alignment horizontal="left" vertical="center" shrinkToFit="1"/>
      <protection hidden="1"/>
    </xf>
    <xf numFmtId="0" fontId="14" fillId="0" borderId="11" xfId="0" applyFont="1" applyBorder="1" applyAlignment="1" applyProtection="1">
      <alignment horizontal="left" vertical="center" shrinkToFit="1"/>
      <protection hidden="1"/>
    </xf>
    <xf numFmtId="0" fontId="14" fillId="0" borderId="24" xfId="0" applyFont="1" applyBorder="1" applyAlignment="1" applyProtection="1">
      <alignment horizontal="left" vertical="center" shrinkToFit="1"/>
      <protection hidden="1"/>
    </xf>
    <xf numFmtId="0" fontId="14" fillId="0" borderId="30" xfId="0" applyFont="1" applyBorder="1" applyAlignment="1" applyProtection="1">
      <alignment horizontal="left" vertical="center" shrinkToFit="1"/>
      <protection hidden="1"/>
    </xf>
    <xf numFmtId="0" fontId="14" fillId="0" borderId="12" xfId="0" applyFont="1" applyBorder="1" applyAlignment="1" applyProtection="1">
      <alignment horizontal="left" vertical="center" shrinkToFit="1"/>
      <protection hidden="1"/>
    </xf>
    <xf numFmtId="0" fontId="14" fillId="0" borderId="26" xfId="0" applyFont="1" applyBorder="1" applyAlignment="1" applyProtection="1">
      <alignment horizontal="left" vertical="center" shrinkToFit="1"/>
      <protection hidden="1"/>
    </xf>
    <xf numFmtId="0" fontId="14" fillId="0" borderId="19" xfId="0" applyFont="1" applyBorder="1" applyAlignment="1" applyProtection="1">
      <alignment horizontal="left" vertical="center" shrinkToFit="1"/>
      <protection hidden="1"/>
    </xf>
    <xf numFmtId="0" fontId="14" fillId="0" borderId="13" xfId="0" applyFont="1" applyBorder="1" applyAlignment="1" applyProtection="1">
      <alignment horizontal="left" vertical="center" shrinkToFit="1"/>
      <protection hidden="1"/>
    </xf>
    <xf numFmtId="0" fontId="14" fillId="0" borderId="22" xfId="0" applyFont="1" applyBorder="1" applyAlignment="1" applyProtection="1">
      <alignment horizontal="left" vertical="center" shrinkToFit="1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0" fontId="14" fillId="0" borderId="65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78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66" xfId="0" applyFont="1" applyBorder="1" applyAlignment="1" applyProtection="1">
      <alignment horizontal="center" vertical="center"/>
      <protection hidden="1"/>
    </xf>
    <xf numFmtId="185" fontId="14" fillId="0" borderId="0" xfId="0" applyNumberFormat="1" applyFont="1" applyBorder="1" applyAlignment="1" applyProtection="1">
      <alignment horizontal="left" vertical="center"/>
      <protection locked="0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Fill="1" applyBorder="1" applyAlignment="1" applyProtection="1">
      <alignment horizontal="center" vertical="center" shrinkToFit="1"/>
      <protection hidden="1"/>
    </xf>
    <xf numFmtId="0" fontId="10" fillId="32" borderId="27" xfId="0" applyFont="1" applyFill="1" applyBorder="1" applyAlignment="1" applyProtection="1">
      <alignment horizontal="center" vertical="center"/>
      <protection hidden="1"/>
    </xf>
    <xf numFmtId="0" fontId="10" fillId="32" borderId="28" xfId="0" applyFont="1" applyFill="1" applyBorder="1" applyAlignment="1" applyProtection="1">
      <alignment horizontal="center" vertical="center"/>
      <protection hidden="1"/>
    </xf>
    <xf numFmtId="0" fontId="10" fillId="32" borderId="29" xfId="0" applyFont="1" applyFill="1" applyBorder="1" applyAlignment="1" applyProtection="1">
      <alignment horizontal="center" vertical="center"/>
      <protection hidden="1"/>
    </xf>
    <xf numFmtId="0" fontId="10" fillId="32" borderId="33" xfId="0" applyFont="1" applyFill="1" applyBorder="1" applyAlignment="1" applyProtection="1">
      <alignment horizontal="center" vertical="center"/>
      <protection hidden="1"/>
    </xf>
    <xf numFmtId="0" fontId="10" fillId="32" borderId="75" xfId="0" applyFont="1" applyFill="1" applyBorder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 shrinkToFit="1"/>
      <protection hidden="1"/>
    </xf>
    <xf numFmtId="0" fontId="10" fillId="0" borderId="39" xfId="0" applyFont="1" applyBorder="1" applyAlignment="1" applyProtection="1">
      <alignment horizontal="center" vertical="center" shrinkToFit="1"/>
      <protection hidden="1"/>
    </xf>
    <xf numFmtId="0" fontId="10" fillId="35" borderId="27" xfId="0" applyFont="1" applyFill="1" applyBorder="1" applyAlignment="1" applyProtection="1">
      <alignment horizontal="center" vertical="center" shrinkToFit="1"/>
      <protection hidden="1"/>
    </xf>
    <xf numFmtId="0" fontId="10" fillId="35" borderId="28" xfId="0" applyFont="1" applyFill="1" applyBorder="1" applyAlignment="1" applyProtection="1">
      <alignment horizontal="center" vertical="center" shrinkToFit="1"/>
      <protection hidden="1"/>
    </xf>
    <xf numFmtId="0" fontId="10" fillId="35" borderId="29" xfId="0" applyFont="1" applyFill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left" vertical="center" shrinkToFit="1"/>
      <protection hidden="1"/>
    </xf>
    <xf numFmtId="0" fontId="10" fillId="0" borderId="35" xfId="0" applyFont="1" applyBorder="1" applyAlignment="1" applyProtection="1">
      <alignment horizontal="left" vertical="center" shrinkToFit="1"/>
      <protection hidden="1"/>
    </xf>
    <xf numFmtId="0" fontId="10" fillId="0" borderId="36" xfId="0" applyFont="1" applyBorder="1" applyAlignment="1" applyProtection="1">
      <alignment horizontal="left" vertical="center" shrinkToFit="1"/>
      <protection hidden="1"/>
    </xf>
    <xf numFmtId="0" fontId="10" fillId="0" borderId="37" xfId="0" applyFont="1" applyBorder="1" applyAlignment="1" applyProtection="1">
      <alignment horizontal="left" vertical="center" shrinkToFit="1"/>
      <protection hidden="1"/>
    </xf>
    <xf numFmtId="0" fontId="11" fillId="0" borderId="25" xfId="0" applyFont="1" applyFill="1" applyBorder="1" applyAlignment="1" applyProtection="1">
      <alignment horizontal="center" vertical="center" shrinkToFit="1"/>
      <protection hidden="1"/>
    </xf>
    <xf numFmtId="0" fontId="11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26" xfId="0" applyFont="1" applyFill="1" applyBorder="1" applyAlignment="1" applyProtection="1">
      <alignment horizontal="center" vertical="center" shrinkToFit="1"/>
      <protection hidden="1"/>
    </xf>
    <xf numFmtId="0" fontId="10" fillId="37" borderId="27" xfId="0" applyFont="1" applyFill="1" applyBorder="1" applyAlignment="1" applyProtection="1">
      <alignment horizontal="center" vertical="center"/>
      <protection hidden="1"/>
    </xf>
    <xf numFmtId="0" fontId="10" fillId="37" borderId="28" xfId="0" applyFont="1" applyFill="1" applyBorder="1" applyAlignment="1" applyProtection="1">
      <alignment horizontal="center" vertical="center"/>
      <protection hidden="1"/>
    </xf>
    <xf numFmtId="0" fontId="10" fillId="37" borderId="29" xfId="0" applyFont="1" applyFill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left" vertical="center" shrinkToFit="1"/>
      <protection hidden="1"/>
    </xf>
    <xf numFmtId="0" fontId="10" fillId="0" borderId="39" xfId="0" applyFont="1" applyBorder="1" applyAlignment="1" applyProtection="1">
      <alignment horizontal="left" vertical="center" shrinkToFit="1"/>
      <protection hidden="1"/>
    </xf>
    <xf numFmtId="178" fontId="10" fillId="0" borderId="23" xfId="0" applyNumberFormat="1" applyFont="1" applyBorder="1" applyAlignment="1" applyProtection="1">
      <alignment horizontal="center" vertical="center" shrinkToFit="1"/>
      <protection hidden="1"/>
    </xf>
    <xf numFmtId="178" fontId="10" fillId="0" borderId="11" xfId="0" applyNumberFormat="1" applyFont="1" applyBorder="1" applyAlignment="1" applyProtection="1">
      <alignment horizontal="center" vertical="center" shrinkToFit="1"/>
      <protection hidden="1"/>
    </xf>
    <xf numFmtId="0" fontId="10" fillId="0" borderId="74" xfId="0" applyFont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66" xfId="0" applyFont="1" applyBorder="1" applyAlignment="1" applyProtection="1">
      <alignment horizontal="center" vertical="center" shrinkToFit="1"/>
      <protection hidden="1"/>
    </xf>
    <xf numFmtId="0" fontId="10" fillId="34" borderId="39" xfId="0" applyFont="1" applyFill="1" applyBorder="1" applyAlignment="1" applyProtection="1">
      <alignment horizontal="center" vertical="center" shrinkToFit="1"/>
      <protection hidden="1"/>
    </xf>
    <xf numFmtId="0" fontId="10" fillId="34" borderId="60" xfId="0" applyFont="1" applyFill="1" applyBorder="1" applyAlignment="1" applyProtection="1">
      <alignment horizontal="center" vertical="center" shrinkToFit="1"/>
      <protection hidden="1"/>
    </xf>
    <xf numFmtId="0" fontId="10" fillId="0" borderId="19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78" xfId="0" applyFont="1" applyBorder="1" applyAlignment="1" applyProtection="1">
      <alignment horizontal="center" vertical="center" shrinkToFit="1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10" fillId="34" borderId="13" xfId="0" applyFont="1" applyFill="1" applyBorder="1" applyAlignment="1" applyProtection="1">
      <alignment horizontal="center" vertical="center" shrinkToFit="1"/>
      <protection hidden="1"/>
    </xf>
    <xf numFmtId="0" fontId="10" fillId="34" borderId="78" xfId="0" applyFont="1" applyFill="1" applyBorder="1" applyAlignment="1" applyProtection="1">
      <alignment horizontal="center" vertical="center" shrinkToFit="1"/>
      <protection hidden="1"/>
    </xf>
    <xf numFmtId="0" fontId="10" fillId="0" borderId="35" xfId="0" applyFont="1" applyBorder="1" applyAlignment="1" applyProtection="1">
      <alignment horizontal="center" vertical="center" shrinkToFit="1"/>
      <protection hidden="1"/>
    </xf>
    <xf numFmtId="0" fontId="10" fillId="0" borderId="61" xfId="0" applyFont="1" applyBorder="1" applyAlignment="1" applyProtection="1">
      <alignment horizontal="center" vertical="center" shrinkToFit="1"/>
      <protection hidden="1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10" fillId="0" borderId="58" xfId="0" applyFont="1" applyBorder="1" applyAlignment="1" applyProtection="1">
      <alignment horizontal="center" vertical="center" shrinkToFit="1"/>
      <protection hidden="1"/>
    </xf>
    <xf numFmtId="0" fontId="10" fillId="0" borderId="37" xfId="0" applyFont="1" applyBorder="1" applyAlignment="1" applyProtection="1">
      <alignment horizontal="center" vertical="center" shrinkToFit="1"/>
      <protection hidden="1"/>
    </xf>
    <xf numFmtId="0" fontId="10" fillId="0" borderId="59" xfId="0" applyFont="1" applyBorder="1" applyAlignment="1" applyProtection="1">
      <alignment horizontal="center" vertical="center" shrinkToFit="1"/>
      <protection hidden="1"/>
    </xf>
    <xf numFmtId="0" fontId="10" fillId="0" borderId="30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65" xfId="0" applyFont="1" applyBorder="1" applyAlignment="1" applyProtection="1">
      <alignment horizontal="center" vertical="center" shrinkToFit="1"/>
      <protection hidden="1"/>
    </xf>
    <xf numFmtId="0" fontId="10" fillId="0" borderId="36" xfId="0" applyFont="1" applyBorder="1" applyAlignment="1" applyProtection="1">
      <alignment horizontal="center" vertical="center" shrinkToFit="1"/>
      <protection hidden="1"/>
    </xf>
    <xf numFmtId="0" fontId="10" fillId="34" borderId="34" xfId="0" applyFont="1" applyFill="1" applyBorder="1" applyAlignment="1" applyProtection="1">
      <alignment horizontal="center" vertical="center" shrinkToFit="1"/>
      <protection hidden="1"/>
    </xf>
    <xf numFmtId="0" fontId="10" fillId="34" borderId="35" xfId="0" applyFont="1" applyFill="1" applyBorder="1" applyAlignment="1" applyProtection="1">
      <alignment horizontal="center" vertical="center" shrinkToFit="1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78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left" vertical="center" shrinkToFit="1"/>
      <protection hidden="1"/>
    </xf>
    <xf numFmtId="0" fontId="10" fillId="0" borderId="12" xfId="0" applyFont="1" applyBorder="1" applyAlignment="1" applyProtection="1">
      <alignment horizontal="left" vertical="center" shrinkToFit="1"/>
      <protection hidden="1"/>
    </xf>
    <xf numFmtId="0" fontId="10" fillId="0" borderId="26" xfId="0" applyFont="1" applyBorder="1" applyAlignment="1" applyProtection="1">
      <alignment horizontal="left" vertical="center" shrinkToFit="1"/>
      <protection hidden="1"/>
    </xf>
    <xf numFmtId="0" fontId="10" fillId="0" borderId="19" xfId="0" applyFont="1" applyBorder="1" applyAlignment="1" applyProtection="1">
      <alignment horizontal="left" vertical="center" shrinkToFit="1"/>
      <protection hidden="1"/>
    </xf>
    <xf numFmtId="0" fontId="10" fillId="0" borderId="13" xfId="0" applyFont="1" applyBorder="1" applyAlignment="1" applyProtection="1">
      <alignment horizontal="left" vertical="center" shrinkToFit="1"/>
      <protection hidden="1"/>
    </xf>
    <xf numFmtId="0" fontId="10" fillId="0" borderId="22" xfId="0" applyFont="1" applyBorder="1" applyAlignment="1" applyProtection="1">
      <alignment horizontal="left" vertical="center" shrinkToFit="1"/>
      <protection hidden="1"/>
    </xf>
    <xf numFmtId="0" fontId="10" fillId="0" borderId="74" xfId="0" applyFont="1" applyBorder="1" applyAlignment="1" applyProtection="1">
      <alignment horizontal="left" vertical="center" shrinkToFit="1"/>
      <protection hidden="1"/>
    </xf>
    <xf numFmtId="0" fontId="10" fillId="0" borderId="11" xfId="0" applyFont="1" applyBorder="1" applyAlignment="1" applyProtection="1">
      <alignment horizontal="left" vertical="center" shrinkToFit="1"/>
      <protection hidden="1"/>
    </xf>
    <xf numFmtId="0" fontId="10" fillId="0" borderId="24" xfId="0" applyFont="1" applyBorder="1" applyAlignment="1" applyProtection="1">
      <alignment horizontal="left" vertical="center" shrinkToFit="1"/>
      <protection hidden="1"/>
    </xf>
    <xf numFmtId="0" fontId="10" fillId="38" borderId="27" xfId="0" applyFont="1" applyFill="1" applyBorder="1" applyAlignment="1" applyProtection="1">
      <alignment horizontal="center" vertical="center"/>
      <protection hidden="1"/>
    </xf>
    <xf numFmtId="0" fontId="10" fillId="38" borderId="28" xfId="0" applyFont="1" applyFill="1" applyBorder="1" applyAlignment="1" applyProtection="1">
      <alignment horizontal="center" vertical="center"/>
      <protection hidden="1"/>
    </xf>
    <xf numFmtId="0" fontId="10" fillId="38" borderId="29" xfId="0" applyFont="1" applyFill="1" applyBorder="1" applyAlignment="1" applyProtection="1">
      <alignment horizontal="center" vertical="center"/>
      <protection hidden="1"/>
    </xf>
    <xf numFmtId="0" fontId="10" fillId="34" borderId="33" xfId="0" applyFont="1" applyFill="1" applyBorder="1" applyAlignment="1" applyProtection="1">
      <alignment horizontal="center" vertical="center"/>
      <protection hidden="1"/>
    </xf>
    <xf numFmtId="0" fontId="10" fillId="34" borderId="28" xfId="0" applyFont="1" applyFill="1" applyBorder="1" applyAlignment="1" applyProtection="1">
      <alignment horizontal="center" vertical="center"/>
      <protection hidden="1"/>
    </xf>
    <xf numFmtId="0" fontId="10" fillId="34" borderId="75" xfId="0" applyFont="1" applyFill="1" applyBorder="1" applyAlignment="1" applyProtection="1">
      <alignment horizontal="center" vertical="center"/>
      <protection hidden="1"/>
    </xf>
    <xf numFmtId="179" fontId="10" fillId="39" borderId="57" xfId="0" applyNumberFormat="1" applyFont="1" applyFill="1" applyBorder="1" applyAlignment="1" applyProtection="1">
      <alignment horizontal="center" vertical="center"/>
      <protection hidden="1"/>
    </xf>
    <xf numFmtId="179" fontId="10" fillId="39" borderId="3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0" fillId="38" borderId="76" xfId="0" applyFont="1" applyFill="1" applyBorder="1" applyAlignment="1" applyProtection="1">
      <alignment horizontal="center" vertical="center"/>
      <protection hidden="1"/>
    </xf>
    <xf numFmtId="0" fontId="10" fillId="38" borderId="32" xfId="0" applyFont="1" applyFill="1" applyBorder="1" applyAlignment="1" applyProtection="1">
      <alignment horizontal="center" vertical="center"/>
      <protection hidden="1"/>
    </xf>
    <xf numFmtId="0" fontId="10" fillId="38" borderId="33" xfId="0" applyFont="1" applyFill="1" applyBorder="1" applyAlignment="1" applyProtection="1">
      <alignment horizontal="center" vertical="center"/>
      <protection hidden="1"/>
    </xf>
    <xf numFmtId="179" fontId="10" fillId="0" borderId="46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51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41" xfId="0" applyFont="1" applyFill="1" applyBorder="1" applyAlignment="1" applyProtection="1">
      <alignment horizontal="center" vertical="center" shrinkToFit="1"/>
      <protection hidden="1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46" xfId="0" applyFont="1" applyFill="1" applyBorder="1" applyAlignment="1" applyProtection="1">
      <alignment horizontal="center" vertical="center"/>
      <protection hidden="1"/>
    </xf>
    <xf numFmtId="0" fontId="10" fillId="0" borderId="64" xfId="0" applyFont="1" applyFill="1" applyBorder="1" applyAlignment="1" applyProtection="1">
      <alignment horizontal="center" vertical="center"/>
      <protection hidden="1"/>
    </xf>
    <xf numFmtId="0" fontId="10" fillId="0" borderId="49" xfId="0" applyFont="1" applyFill="1" applyBorder="1" applyAlignment="1" applyProtection="1">
      <alignment horizontal="center" vertical="center"/>
      <protection hidden="1"/>
    </xf>
    <xf numFmtId="174" fontId="10" fillId="0" borderId="46" xfId="0" applyNumberFormat="1" applyFont="1" applyFill="1" applyBorder="1" applyAlignment="1" applyProtection="1">
      <alignment horizontal="center" vertical="center"/>
      <protection hidden="1"/>
    </xf>
    <xf numFmtId="174" fontId="10" fillId="0" borderId="49" xfId="0" applyNumberFormat="1" applyFont="1" applyFill="1" applyBorder="1" applyAlignment="1" applyProtection="1">
      <alignment horizontal="center" vertical="center"/>
      <protection hidden="1"/>
    </xf>
    <xf numFmtId="0" fontId="10" fillId="38" borderId="75" xfId="0" applyFont="1" applyFill="1" applyBorder="1" applyAlignment="1" applyProtection="1">
      <alignment horizontal="center" vertical="center"/>
      <protection hidden="1"/>
    </xf>
    <xf numFmtId="0" fontId="10" fillId="37" borderId="32" xfId="0" applyFont="1" applyFill="1" applyBorder="1" applyAlignment="1" applyProtection="1">
      <alignment horizontal="center" vertical="center"/>
      <protection hidden="1"/>
    </xf>
    <xf numFmtId="0" fontId="10" fillId="37" borderId="33" xfId="0" applyFont="1" applyFill="1" applyBorder="1" applyAlignment="1" applyProtection="1">
      <alignment horizontal="center" vertical="center"/>
      <protection hidden="1"/>
    </xf>
    <xf numFmtId="0" fontId="10" fillId="37" borderId="75" xfId="0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65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84" fontId="10" fillId="0" borderId="0" xfId="0" applyNumberFormat="1" applyFont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32" fillId="0" borderId="67" xfId="0" applyFont="1" applyBorder="1" applyAlignment="1" applyProtection="1">
      <alignment horizontal="center" vertical="center"/>
      <protection hidden="1"/>
    </xf>
    <xf numFmtId="0" fontId="32" fillId="0" borderId="68" xfId="0" applyFont="1" applyBorder="1" applyAlignment="1" applyProtection="1">
      <alignment horizontal="center" vertical="center"/>
      <protection hidden="1"/>
    </xf>
    <xf numFmtId="0" fontId="32" fillId="0" borderId="69" xfId="0" applyFont="1" applyBorder="1" applyAlignment="1" applyProtection="1">
      <alignment horizontal="center" vertical="center"/>
      <protection hidden="1"/>
    </xf>
    <xf numFmtId="0" fontId="32" fillId="0" borderId="70" xfId="0" applyFont="1" applyBorder="1" applyAlignment="1" applyProtection="1">
      <alignment horizontal="center" vertical="center"/>
      <protection hidden="1"/>
    </xf>
    <xf numFmtId="0" fontId="32" fillId="0" borderId="71" xfId="0" applyFont="1" applyBorder="1" applyAlignment="1" applyProtection="1">
      <alignment horizontal="center" vertical="center"/>
      <protection hidden="1"/>
    </xf>
    <xf numFmtId="0" fontId="32" fillId="0" borderId="72" xfId="0" applyFont="1" applyBorder="1" applyAlignment="1" applyProtection="1">
      <alignment horizontal="center" vertical="center"/>
      <protection hidden="1"/>
    </xf>
    <xf numFmtId="0" fontId="10" fillId="32" borderId="32" xfId="0" applyFont="1" applyFill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 shrinkToFit="1"/>
      <protection hidden="1"/>
    </xf>
    <xf numFmtId="0" fontId="10" fillId="0" borderId="18" xfId="0" applyFont="1" applyFill="1" applyBorder="1" applyAlignment="1" applyProtection="1">
      <alignment horizontal="center" vertical="center" shrinkToFit="1"/>
      <protection hidden="1"/>
    </xf>
    <xf numFmtId="0" fontId="10" fillId="0" borderId="61" xfId="0" applyFont="1" applyFill="1" applyBorder="1" applyAlignment="1" applyProtection="1">
      <alignment horizontal="center" vertical="center" shrinkToFit="1"/>
      <protection hidden="1"/>
    </xf>
    <xf numFmtId="174" fontId="10" fillId="0" borderId="3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65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73" xfId="0" applyNumberFormat="1" applyFont="1" applyFill="1" applyBorder="1" applyAlignment="1" applyProtection="1">
      <alignment horizontal="center" vertical="center" shrinkToFit="1"/>
      <protection hidden="1"/>
    </xf>
    <xf numFmtId="178" fontId="10" fillId="0" borderId="21" xfId="0" applyNumberFormat="1" applyFont="1" applyBorder="1" applyAlignment="1" applyProtection="1">
      <alignment horizontal="center" vertical="center" shrinkToFit="1"/>
      <protection hidden="1"/>
    </xf>
    <xf numFmtId="178" fontId="10" fillId="0" borderId="13" xfId="0" applyNumberFormat="1" applyFont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center" vertical="center" shrinkToFit="1"/>
      <protection hidden="1"/>
    </xf>
    <xf numFmtId="0" fontId="10" fillId="36" borderId="28" xfId="0" applyFont="1" applyFill="1" applyBorder="1" applyAlignment="1" applyProtection="1">
      <alignment horizontal="center" vertical="center" shrinkToFit="1"/>
      <protection hidden="1"/>
    </xf>
    <xf numFmtId="0" fontId="10" fillId="36" borderId="29" xfId="0" applyFont="1" applyFill="1" applyBorder="1" applyAlignment="1" applyProtection="1">
      <alignment horizontal="center" vertical="center" shrinkToFit="1"/>
      <protection hidden="1"/>
    </xf>
    <xf numFmtId="0" fontId="10" fillId="0" borderId="57" xfId="0" applyFont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 shrinkToFit="1"/>
      <protection hidden="1"/>
    </xf>
    <xf numFmtId="0" fontId="10" fillId="0" borderId="26" xfId="0" applyFont="1" applyBorder="1" applyAlignment="1" applyProtection="1">
      <alignment horizontal="center" vertical="center" shrinkToFit="1"/>
      <protection hidden="1"/>
    </xf>
    <xf numFmtId="0" fontId="10" fillId="0" borderId="22" xfId="0" applyFont="1" applyBorder="1" applyAlignment="1" applyProtection="1">
      <alignment horizontal="center" vertical="center" shrinkToFit="1"/>
      <protection hidden="1"/>
    </xf>
    <xf numFmtId="0" fontId="31" fillId="36" borderId="51" xfId="0" applyFont="1" applyFill="1" applyBorder="1" applyAlignment="1" applyProtection="1">
      <alignment horizontal="center" textRotation="90"/>
      <protection hidden="1"/>
    </xf>
    <xf numFmtId="0" fontId="31" fillId="36" borderId="41" xfId="0" applyFont="1" applyFill="1" applyBorder="1" applyAlignment="1" applyProtection="1">
      <alignment horizontal="center" textRotation="90"/>
      <protection hidden="1"/>
    </xf>
    <xf numFmtId="0" fontId="31" fillId="36" borderId="42" xfId="0" applyFont="1" applyFill="1" applyBorder="1" applyAlignment="1" applyProtection="1">
      <alignment horizontal="center" textRotation="90"/>
      <protection hidden="1"/>
    </xf>
    <xf numFmtId="0" fontId="31" fillId="36" borderId="53" xfId="0" applyFont="1" applyFill="1" applyBorder="1" applyAlignment="1" applyProtection="1">
      <alignment horizontal="center" textRotation="90"/>
      <protection hidden="1"/>
    </xf>
    <xf numFmtId="0" fontId="31" fillId="36" borderId="0" xfId="0" applyFont="1" applyFill="1" applyBorder="1" applyAlignment="1" applyProtection="1">
      <alignment horizontal="center" textRotation="90"/>
      <protection hidden="1"/>
    </xf>
    <xf numFmtId="0" fontId="31" fillId="36" borderId="43" xfId="0" applyFont="1" applyFill="1" applyBorder="1" applyAlignment="1" applyProtection="1">
      <alignment horizontal="center" textRotation="90"/>
      <protection hidden="1"/>
    </xf>
    <xf numFmtId="0" fontId="31" fillId="36" borderId="55" xfId="0" applyFont="1" applyFill="1" applyBorder="1" applyAlignment="1" applyProtection="1">
      <alignment horizontal="center" textRotation="90"/>
      <protection hidden="1"/>
    </xf>
    <xf numFmtId="0" fontId="31" fillId="36" borderId="14" xfId="0" applyFont="1" applyFill="1" applyBorder="1" applyAlignment="1" applyProtection="1">
      <alignment horizontal="center" textRotation="90"/>
      <protection hidden="1"/>
    </xf>
    <xf numFmtId="0" fontId="31" fillId="36" borderId="45" xfId="0" applyFont="1" applyFill="1" applyBorder="1" applyAlignment="1" applyProtection="1">
      <alignment horizontal="center" textRotation="90"/>
      <protection hidden="1"/>
    </xf>
    <xf numFmtId="0" fontId="31" fillId="36" borderId="40" xfId="0" applyFont="1" applyFill="1" applyBorder="1" applyAlignment="1" applyProtection="1">
      <alignment horizontal="center" textRotation="90"/>
      <protection hidden="1"/>
    </xf>
    <xf numFmtId="0" fontId="31" fillId="36" borderId="10" xfId="0" applyFont="1" applyFill="1" applyBorder="1" applyAlignment="1" applyProtection="1">
      <alignment horizontal="center" textRotation="90"/>
      <protection hidden="1"/>
    </xf>
    <xf numFmtId="0" fontId="31" fillId="36" borderId="44" xfId="0" applyFont="1" applyFill="1" applyBorder="1" applyAlignment="1" applyProtection="1">
      <alignment horizontal="center" textRotation="90"/>
      <protection hidden="1"/>
    </xf>
    <xf numFmtId="0" fontId="31" fillId="36" borderId="52" xfId="0" applyFont="1" applyFill="1" applyBorder="1" applyAlignment="1" applyProtection="1">
      <alignment horizontal="center" textRotation="90"/>
      <protection hidden="1"/>
    </xf>
    <xf numFmtId="0" fontId="31" fillId="36" borderId="54" xfId="0" applyFont="1" applyFill="1" applyBorder="1" applyAlignment="1" applyProtection="1">
      <alignment horizontal="center" textRotation="90"/>
      <protection hidden="1"/>
    </xf>
    <xf numFmtId="0" fontId="31" fillId="36" borderId="56" xfId="0" applyFont="1" applyFill="1" applyBorder="1" applyAlignment="1" applyProtection="1">
      <alignment horizontal="center" textRotation="90"/>
      <protection hidden="1"/>
    </xf>
    <xf numFmtId="0" fontId="10" fillId="36" borderId="32" xfId="0" applyFont="1" applyFill="1" applyBorder="1" applyAlignment="1" applyProtection="1">
      <alignment horizontal="center" vertical="center" shrinkToFit="1"/>
      <protection hidden="1"/>
    </xf>
    <xf numFmtId="0" fontId="10" fillId="36" borderId="75" xfId="0" applyFont="1" applyFill="1" applyBorder="1" applyAlignment="1" applyProtection="1">
      <alignment horizontal="center" vertical="center" shrinkToFit="1"/>
      <protection hidden="1"/>
    </xf>
    <xf numFmtId="1" fontId="10" fillId="0" borderId="15" xfId="0" applyNumberFormat="1" applyFont="1" applyBorder="1" applyAlignment="1" applyProtection="1">
      <alignment horizontal="center" vertical="center" shrinkToFit="1"/>
      <protection hidden="1"/>
    </xf>
    <xf numFmtId="1" fontId="10" fillId="0" borderId="19" xfId="0" applyNumberFormat="1" applyFont="1" applyBorder="1" applyAlignment="1" applyProtection="1">
      <alignment horizontal="center" vertical="center" shrinkToFit="1"/>
      <protection hidden="1"/>
    </xf>
    <xf numFmtId="0" fontId="10" fillId="35" borderId="33" xfId="0" applyFont="1" applyFill="1" applyBorder="1" applyAlignment="1" applyProtection="1">
      <alignment horizontal="center" vertical="center" shrinkToFit="1"/>
      <protection hidden="1"/>
    </xf>
    <xf numFmtId="0" fontId="10" fillId="35" borderId="32" xfId="0" applyFont="1" applyFill="1" applyBorder="1" applyAlignment="1" applyProtection="1">
      <alignment horizontal="center" vertical="center" shrinkToFit="1"/>
      <protection hidden="1"/>
    </xf>
    <xf numFmtId="1" fontId="10" fillId="0" borderId="58" xfId="0" applyNumberFormat="1" applyFont="1" applyBorder="1" applyAlignment="1" applyProtection="1">
      <alignment horizontal="center" vertical="center" shrinkToFit="1"/>
      <protection hidden="1"/>
    </xf>
    <xf numFmtId="1" fontId="10" fillId="0" borderId="74" xfId="0" applyNumberFormat="1" applyFont="1" applyBorder="1" applyAlignment="1" applyProtection="1">
      <alignment horizontal="center" vertical="center" shrinkToFit="1"/>
      <protection hidden="1"/>
    </xf>
    <xf numFmtId="0" fontId="10" fillId="0" borderId="60" xfId="0" applyFont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center" vertical="center" shrinkToFit="1"/>
      <protection hidden="1"/>
    </xf>
    <xf numFmtId="0" fontId="10" fillId="36" borderId="33" xfId="0" applyFont="1" applyFill="1" applyBorder="1" applyAlignment="1" applyProtection="1">
      <alignment horizontal="center" vertical="center" shrinkToFit="1"/>
      <protection hidden="1"/>
    </xf>
    <xf numFmtId="0" fontId="10" fillId="36" borderId="79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Border="1" applyAlignment="1" applyProtection="1">
      <alignment horizontal="center" vertical="center" shrinkToFit="1"/>
      <protection hidden="1"/>
    </xf>
    <xf numFmtId="1" fontId="10" fillId="0" borderId="57" xfId="0" applyNumberFormat="1" applyFont="1" applyBorder="1" applyAlignment="1" applyProtection="1">
      <alignment horizontal="center" vertical="center" shrinkToFit="1"/>
      <protection hidden="1"/>
    </xf>
    <xf numFmtId="1" fontId="10" fillId="0" borderId="30" xfId="0" applyNumberFormat="1" applyFont="1" applyBorder="1" applyAlignment="1" applyProtection="1">
      <alignment horizontal="center" vertical="center" shrinkToFit="1"/>
      <protection hidden="1"/>
    </xf>
    <xf numFmtId="0" fontId="10" fillId="0" borderId="30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26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80" xfId="0" applyFont="1" applyFill="1" applyBorder="1" applyAlignment="1" applyProtection="1">
      <alignment horizontal="center" vertical="center" shrinkToFit="1"/>
      <protection hidden="1"/>
    </xf>
    <xf numFmtId="179" fontId="10" fillId="0" borderId="3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20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30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65" xfId="0" applyFont="1" applyFill="1" applyBorder="1" applyAlignment="1" applyProtection="1">
      <alignment horizontal="left" vertical="center" shrinkToFit="1"/>
      <protection hidden="1"/>
    </xf>
    <xf numFmtId="0" fontId="31" fillId="35" borderId="51" xfId="0" applyFont="1" applyFill="1" applyBorder="1" applyAlignment="1" applyProtection="1">
      <alignment horizontal="center" textRotation="90"/>
      <protection hidden="1"/>
    </xf>
    <xf numFmtId="0" fontId="31" fillId="35" borderId="41" xfId="0" applyFont="1" applyFill="1" applyBorder="1" applyAlignment="1" applyProtection="1">
      <alignment horizontal="center" textRotation="90"/>
      <protection hidden="1"/>
    </xf>
    <xf numFmtId="0" fontId="31" fillId="35" borderId="52" xfId="0" applyFont="1" applyFill="1" applyBorder="1" applyAlignment="1" applyProtection="1">
      <alignment horizontal="center" textRotation="90"/>
      <protection hidden="1"/>
    </xf>
    <xf numFmtId="0" fontId="31" fillId="35" borderId="53" xfId="0" applyFont="1" applyFill="1" applyBorder="1" applyAlignment="1" applyProtection="1">
      <alignment horizontal="center" textRotation="90"/>
      <protection hidden="1"/>
    </xf>
    <xf numFmtId="0" fontId="31" fillId="35" borderId="0" xfId="0" applyFont="1" applyFill="1" applyBorder="1" applyAlignment="1" applyProtection="1">
      <alignment horizontal="center" textRotation="90"/>
      <protection hidden="1"/>
    </xf>
    <xf numFmtId="0" fontId="31" fillId="35" borderId="54" xfId="0" applyFont="1" applyFill="1" applyBorder="1" applyAlignment="1" applyProtection="1">
      <alignment horizontal="center" textRotation="90"/>
      <protection hidden="1"/>
    </xf>
    <xf numFmtId="0" fontId="31" fillId="35" borderId="55" xfId="0" applyFont="1" applyFill="1" applyBorder="1" applyAlignment="1" applyProtection="1">
      <alignment horizontal="center" textRotation="90"/>
      <protection hidden="1"/>
    </xf>
    <xf numFmtId="0" fontId="31" fillId="35" borderId="14" xfId="0" applyFont="1" applyFill="1" applyBorder="1" applyAlignment="1" applyProtection="1">
      <alignment horizontal="center" textRotation="90"/>
      <protection hidden="1"/>
    </xf>
    <xf numFmtId="0" fontId="31" fillId="35" borderId="56" xfId="0" applyFont="1" applyFill="1" applyBorder="1" applyAlignment="1" applyProtection="1">
      <alignment horizontal="center" textRotation="90"/>
      <protection hidden="1"/>
    </xf>
    <xf numFmtId="0" fontId="10" fillId="35" borderId="75" xfId="0" applyFont="1" applyFill="1" applyBorder="1" applyAlignment="1" applyProtection="1">
      <alignment horizontal="center" vertical="center" shrinkToFit="1"/>
      <protection hidden="1"/>
    </xf>
    <xf numFmtId="0" fontId="31" fillId="35" borderId="40" xfId="0" applyFont="1" applyFill="1" applyBorder="1" applyAlignment="1" applyProtection="1">
      <alignment horizontal="center" textRotation="90"/>
      <protection hidden="1"/>
    </xf>
    <xf numFmtId="0" fontId="31" fillId="35" borderId="42" xfId="0" applyFont="1" applyFill="1" applyBorder="1" applyAlignment="1" applyProtection="1">
      <alignment horizontal="center" textRotation="90"/>
      <protection hidden="1"/>
    </xf>
    <xf numFmtId="0" fontId="31" fillId="35" borderId="10" xfId="0" applyFont="1" applyFill="1" applyBorder="1" applyAlignment="1" applyProtection="1">
      <alignment horizontal="center" textRotation="90"/>
      <protection hidden="1"/>
    </xf>
    <xf numFmtId="0" fontId="31" fillId="35" borderId="43" xfId="0" applyFont="1" applyFill="1" applyBorder="1" applyAlignment="1" applyProtection="1">
      <alignment horizontal="center" textRotation="90"/>
      <protection hidden="1"/>
    </xf>
    <xf numFmtId="0" fontId="31" fillId="35" borderId="44" xfId="0" applyFont="1" applyFill="1" applyBorder="1" applyAlignment="1" applyProtection="1">
      <alignment horizontal="center" textRotation="90"/>
      <protection hidden="1"/>
    </xf>
    <xf numFmtId="0" fontId="31" fillId="35" borderId="45" xfId="0" applyFont="1" applyFill="1" applyBorder="1" applyAlignment="1" applyProtection="1">
      <alignment horizontal="center" textRotation="90"/>
      <protection hidden="1"/>
    </xf>
    <xf numFmtId="0" fontId="10" fillId="0" borderId="77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left" vertical="center" shrinkToFit="1"/>
      <protection hidden="1"/>
    </xf>
    <xf numFmtId="0" fontId="10" fillId="0" borderId="73" xfId="0" applyFont="1" applyFill="1" applyBorder="1" applyAlignment="1" applyProtection="1">
      <alignment horizontal="left" vertical="center" shrinkToFit="1"/>
      <protection hidden="1"/>
    </xf>
    <xf numFmtId="0" fontId="10" fillId="0" borderId="31" xfId="0" applyFont="1" applyFill="1" applyBorder="1" applyAlignment="1" applyProtection="1">
      <alignment horizontal="left" vertical="center" shrinkToFit="1"/>
      <protection hidden="1"/>
    </xf>
    <xf numFmtId="0" fontId="10" fillId="0" borderId="58" xfId="0" applyFont="1" applyFill="1" applyBorder="1" applyAlignment="1" applyProtection="1">
      <alignment horizontal="center" vertical="center" shrinkToFit="1"/>
      <protection hidden="1"/>
    </xf>
    <xf numFmtId="179" fontId="10" fillId="0" borderId="74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20" fontId="10" fillId="0" borderId="0" xfId="0" applyNumberFormat="1" applyFont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178" fontId="10" fillId="0" borderId="25" xfId="0" applyNumberFormat="1" applyFont="1" applyBorder="1" applyAlignment="1" applyProtection="1">
      <alignment horizontal="center" vertical="center" shrinkToFit="1"/>
      <protection hidden="1"/>
    </xf>
    <xf numFmtId="178" fontId="10" fillId="0" borderId="12" xfId="0" applyNumberFormat="1" applyFont="1" applyBorder="1" applyAlignment="1" applyProtection="1">
      <alignment horizontal="center" vertical="center" shrinkToFit="1"/>
      <protection hidden="1"/>
    </xf>
    <xf numFmtId="181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74" xfId="0" applyFont="1" applyFill="1" applyBorder="1" applyAlignment="1" applyProtection="1">
      <alignment horizontal="left" vertical="center" shrinkToFit="1"/>
      <protection hidden="1"/>
    </xf>
    <xf numFmtId="0" fontId="10" fillId="0" borderId="11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center" vertical="center"/>
      <protection hidden="1"/>
    </xf>
    <xf numFmtId="174" fontId="10" fillId="0" borderId="74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66" xfId="0" applyFont="1" applyFill="1" applyBorder="1" applyAlignment="1" applyProtection="1">
      <alignment horizontal="left" vertical="center" shrinkToFit="1"/>
      <protection hidden="1"/>
    </xf>
    <xf numFmtId="0" fontId="10" fillId="36" borderId="27" xfId="0" applyFont="1" applyFill="1" applyBorder="1" applyAlignment="1" applyProtection="1">
      <alignment horizontal="center" vertical="center"/>
      <protection hidden="1"/>
    </xf>
    <xf numFmtId="0" fontId="10" fillId="36" borderId="28" xfId="0" applyFont="1" applyFill="1" applyBorder="1" applyAlignment="1" applyProtection="1">
      <alignment horizontal="center" vertical="center"/>
      <protection hidden="1"/>
    </xf>
    <xf numFmtId="0" fontId="10" fillId="36" borderId="29" xfId="0" applyFont="1" applyFill="1" applyBorder="1" applyAlignment="1" applyProtection="1">
      <alignment horizontal="center" vertical="center"/>
      <protection hidden="1"/>
    </xf>
    <xf numFmtId="0" fontId="10" fillId="35" borderId="27" xfId="0" applyFont="1" applyFill="1" applyBorder="1" applyAlignment="1" applyProtection="1">
      <alignment horizontal="center" vertical="center"/>
      <protection hidden="1"/>
    </xf>
    <xf numFmtId="0" fontId="10" fillId="35" borderId="28" xfId="0" applyFont="1" applyFill="1" applyBorder="1" applyAlignment="1" applyProtection="1">
      <alignment horizontal="center" vertical="center"/>
      <protection hidden="1"/>
    </xf>
    <xf numFmtId="0" fontId="10" fillId="35" borderId="29" xfId="0" applyFont="1" applyFill="1" applyBorder="1" applyAlignment="1" applyProtection="1">
      <alignment horizontal="center" vertical="center"/>
      <protection hidden="1"/>
    </xf>
    <xf numFmtId="0" fontId="10" fillId="37" borderId="76" xfId="0" applyFont="1" applyFill="1" applyBorder="1" applyAlignment="1" applyProtection="1">
      <alignment horizontal="center" vertical="center"/>
      <protection hidden="1"/>
    </xf>
    <xf numFmtId="0" fontId="10" fillId="32" borderId="76" xfId="0" applyFont="1" applyFill="1" applyBorder="1" applyAlignment="1" applyProtection="1">
      <alignment horizontal="center" vertical="center"/>
      <protection hidden="1"/>
    </xf>
    <xf numFmtId="0" fontId="10" fillId="34" borderId="76" xfId="0" applyFont="1" applyFill="1" applyBorder="1" applyAlignment="1" applyProtection="1">
      <alignment horizontal="center" vertical="center"/>
      <protection hidden="1"/>
    </xf>
    <xf numFmtId="0" fontId="10" fillId="34" borderId="32" xfId="0" applyFont="1" applyFill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left" vertical="center" shrinkToFit="1"/>
      <protection hidden="1"/>
    </xf>
    <xf numFmtId="0" fontId="10" fillId="0" borderId="23" xfId="0" applyFont="1" applyBorder="1" applyAlignment="1" applyProtection="1">
      <alignment horizontal="left" vertical="center" shrinkToFit="1"/>
      <protection hidden="1"/>
    </xf>
    <xf numFmtId="0" fontId="10" fillId="0" borderId="25" xfId="0" applyFont="1" applyBorder="1" applyAlignment="1" applyProtection="1">
      <alignment horizontal="left" vertical="center" shrinkToFit="1"/>
      <protection hidden="1"/>
    </xf>
    <xf numFmtId="184" fontId="14" fillId="0" borderId="0" xfId="0" applyNumberFormat="1" applyFont="1" applyAlignment="1" applyProtection="1">
      <alignment horizontal="center" vertical="center"/>
      <protection hidden="1"/>
    </xf>
    <xf numFmtId="0" fontId="10" fillId="0" borderId="6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4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28575</xdr:rowOff>
    </xdr:from>
    <xdr:to>
      <xdr:col>60</xdr:col>
      <xdr:colOff>57150</xdr:colOff>
      <xdr:row>2</xdr:row>
      <xdr:rowOff>266700</xdr:rowOff>
    </xdr:to>
    <xdr:pic>
      <xdr:nvPicPr>
        <xdr:cNvPr id="1" name="Picture 9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8575"/>
          <a:ext cx="828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397"/>
  <sheetViews>
    <sheetView showGridLines="0" showRowColHeaders="0" tabSelected="1" workbookViewId="0" topLeftCell="A1">
      <selection activeCell="C2" sqref="C2:AU2"/>
    </sheetView>
  </sheetViews>
  <sheetFormatPr defaultColWidth="0" defaultRowHeight="12.75" zeroHeight="1"/>
  <cols>
    <col min="1" max="66" width="2.140625" style="1" customWidth="1"/>
    <col min="67" max="69" width="2.140625" style="2" customWidth="1"/>
    <col min="70" max="71" width="2.140625" style="2" hidden="1" customWidth="1"/>
    <col min="72" max="72" width="2.140625" style="3" hidden="1" customWidth="1"/>
    <col min="73" max="75" width="2.140625" style="4" hidden="1" customWidth="1"/>
    <col min="76" max="76" width="2.140625" style="3" hidden="1" customWidth="1"/>
    <col min="77" max="81" width="2.140625" style="4" hidden="1" customWidth="1"/>
    <col min="82" max="86" width="2.140625" style="2" hidden="1" customWidth="1"/>
    <col min="87" max="90" width="2.140625" style="5" hidden="1" customWidth="1"/>
    <col min="91" max="16384" width="2.140625" style="1" hidden="1" customWidth="1"/>
  </cols>
  <sheetData>
    <row r="1" ht="7.5" customHeight="1"/>
    <row r="2" spans="3:60" ht="33"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3:86" s="7" customFormat="1" ht="27">
      <c r="C3" s="282" t="s">
        <v>65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Z3" s="212" t="s">
        <v>61</v>
      </c>
      <c r="BA3" s="212"/>
      <c r="BB3" s="212"/>
      <c r="BC3" s="212"/>
      <c r="BD3" s="212"/>
      <c r="BE3" s="212"/>
      <c r="BF3" s="212"/>
      <c r="BG3" s="212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3:86" s="11" customFormat="1" ht="15">
      <c r="C4" s="281" t="s">
        <v>66</v>
      </c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44:86" s="11" customFormat="1" ht="6" customHeight="1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3:86" s="17" customFormat="1" ht="15">
      <c r="C6" s="284">
        <v>42176</v>
      </c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16"/>
      <c r="AW6" s="16"/>
      <c r="AX6" s="16"/>
      <c r="AY6" s="16"/>
      <c r="AZ6" s="16"/>
      <c r="BA6" s="16"/>
      <c r="BB6" s="16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44:86" s="11" customFormat="1" ht="6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3:86" s="22" customFormat="1" ht="15">
      <c r="C8" s="280" t="s">
        <v>80</v>
      </c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O8" s="23"/>
      <c r="BP8" s="23"/>
      <c r="BQ8" s="23"/>
      <c r="BR8" s="23"/>
      <c r="BS8" s="23"/>
      <c r="BT8" s="24"/>
      <c r="BU8" s="25"/>
      <c r="BV8" s="25"/>
      <c r="BW8" s="25"/>
      <c r="BX8" s="24"/>
      <c r="BY8" s="25"/>
      <c r="BZ8" s="25"/>
      <c r="CA8" s="25"/>
      <c r="CB8" s="25"/>
      <c r="CC8" s="25"/>
      <c r="CD8" s="23"/>
      <c r="CE8" s="23"/>
      <c r="CF8" s="23"/>
      <c r="CG8" s="23"/>
      <c r="CH8" s="23"/>
    </row>
    <row r="9" spans="67:86" s="11" customFormat="1" ht="6" customHeight="1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86" s="11" customFormat="1" ht="18" customHeight="1">
      <c r="B10" s="157" t="s">
        <v>64</v>
      </c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15" s="17" customFormat="1" ht="18" customHeight="1">
      <c r="B11" s="208" t="s">
        <v>62</v>
      </c>
      <c r="C11" s="208"/>
      <c r="D11" s="208"/>
      <c r="E11" s="208"/>
      <c r="F11" s="208"/>
      <c r="G11" s="208"/>
      <c r="H11" s="210">
        <v>0.5416666666666666</v>
      </c>
      <c r="I11" s="210"/>
      <c r="J11" s="210"/>
      <c r="K11" s="210"/>
      <c r="L11" s="17" t="s">
        <v>0</v>
      </c>
      <c r="T11" s="45" t="s">
        <v>1</v>
      </c>
      <c r="U11" s="211">
        <v>1</v>
      </c>
      <c r="V11" s="211"/>
      <c r="W11" s="46" t="s">
        <v>2</v>
      </c>
      <c r="X11" s="207">
        <v>10</v>
      </c>
      <c r="Y11" s="207"/>
      <c r="Z11" s="207"/>
      <c r="AA11" s="207"/>
      <c r="AB11" s="207"/>
      <c r="AC11" s="206">
        <f>IF(U11=2,"Halbzeit:","")</f>
      </c>
      <c r="AD11" s="206"/>
      <c r="AE11" s="206"/>
      <c r="AF11" s="206"/>
      <c r="AG11" s="206"/>
      <c r="AH11" s="206"/>
      <c r="AI11" s="207"/>
      <c r="AJ11" s="207"/>
      <c r="AK11" s="207"/>
      <c r="AL11" s="207"/>
      <c r="AM11" s="207"/>
      <c r="AN11" s="208" t="s">
        <v>3</v>
      </c>
      <c r="AO11" s="208"/>
      <c r="AP11" s="208"/>
      <c r="AQ11" s="208"/>
      <c r="AR11" s="208"/>
      <c r="AS11" s="208"/>
      <c r="AT11" s="208"/>
      <c r="AU11" s="208"/>
      <c r="AV11" s="208"/>
      <c r="AW11" s="209">
        <v>3</v>
      </c>
      <c r="AX11" s="209"/>
      <c r="AY11" s="209"/>
      <c r="AZ11" s="209"/>
      <c r="BA11" s="209"/>
      <c r="BB11" s="48"/>
      <c r="BC11" s="48"/>
      <c r="BD11" s="48"/>
      <c r="BE11" s="49"/>
      <c r="BF11" s="49"/>
      <c r="BG11" s="49"/>
      <c r="BH11" s="50"/>
      <c r="BI11" s="50"/>
      <c r="BJ11" s="51"/>
      <c r="BK11" s="51"/>
      <c r="BL11" s="52"/>
      <c r="BM11" s="52"/>
      <c r="BN11" s="52"/>
      <c r="BO11" s="53"/>
      <c r="BP11" s="53"/>
      <c r="BQ11" s="53"/>
      <c r="BR11" s="50"/>
      <c r="BS11" s="50"/>
      <c r="BT11" s="50"/>
      <c r="BU11" s="50"/>
      <c r="BV11" s="50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2:115" s="17" customFormat="1" ht="18" customHeight="1">
      <c r="B12" s="45"/>
      <c r="C12" s="45"/>
      <c r="D12" s="45"/>
      <c r="E12" s="45"/>
      <c r="F12" s="45"/>
      <c r="G12" s="45"/>
      <c r="H12" s="55"/>
      <c r="I12" s="55"/>
      <c r="J12" s="55"/>
      <c r="K12" s="55"/>
      <c r="T12" s="45"/>
      <c r="U12" s="46"/>
      <c r="V12" s="46"/>
      <c r="W12" s="46"/>
      <c r="X12" s="56"/>
      <c r="Y12" s="56"/>
      <c r="Z12" s="56"/>
      <c r="AA12" s="56"/>
      <c r="AB12" s="56"/>
      <c r="AC12" s="47"/>
      <c r="AD12" s="47"/>
      <c r="AE12" s="47"/>
      <c r="AF12" s="47"/>
      <c r="AG12" s="47"/>
      <c r="AH12" s="47"/>
      <c r="AI12" s="56"/>
      <c r="AJ12" s="56"/>
      <c r="AK12" s="56"/>
      <c r="AL12" s="56"/>
      <c r="AM12" s="56"/>
      <c r="AN12" s="45"/>
      <c r="AO12" s="45"/>
      <c r="AP12" s="45"/>
      <c r="AQ12" s="45"/>
      <c r="AR12" s="45"/>
      <c r="AS12" s="45"/>
      <c r="AT12" s="45"/>
      <c r="AU12" s="45"/>
      <c r="AV12" s="45"/>
      <c r="AW12" s="57"/>
      <c r="AX12" s="57"/>
      <c r="AY12" s="57"/>
      <c r="AZ12" s="57"/>
      <c r="BA12" s="57"/>
      <c r="BB12" s="48"/>
      <c r="BC12" s="48"/>
      <c r="BD12" s="48"/>
      <c r="BE12" s="49"/>
      <c r="BF12" s="49"/>
      <c r="BG12" s="49"/>
      <c r="BH12" s="50"/>
      <c r="BI12" s="50"/>
      <c r="BJ12" s="51"/>
      <c r="BK12" s="51"/>
      <c r="BL12" s="52"/>
      <c r="BM12" s="52"/>
      <c r="BN12" s="52"/>
      <c r="BO12" s="53"/>
      <c r="BP12" s="53"/>
      <c r="BQ12" s="53"/>
      <c r="BR12" s="50"/>
      <c r="BS12" s="50"/>
      <c r="BT12" s="50"/>
      <c r="BU12" s="50"/>
      <c r="BV12" s="50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2:115" s="17" customFormat="1" ht="18" customHeight="1">
      <c r="B13" s="157" t="s">
        <v>26</v>
      </c>
      <c r="C13" s="45"/>
      <c r="D13" s="45"/>
      <c r="E13" s="45"/>
      <c r="F13" s="45"/>
      <c r="G13" s="45"/>
      <c r="H13" s="55"/>
      <c r="I13" s="55"/>
      <c r="J13" s="55"/>
      <c r="K13" s="55"/>
      <c r="T13" s="45"/>
      <c r="U13" s="46"/>
      <c r="V13" s="46"/>
      <c r="W13" s="46"/>
      <c r="X13" s="56"/>
      <c r="Y13" s="56"/>
      <c r="Z13" s="56"/>
      <c r="AA13" s="56"/>
      <c r="AB13" s="56"/>
      <c r="AC13" s="47"/>
      <c r="AD13" s="47"/>
      <c r="AE13" s="47"/>
      <c r="AF13" s="47"/>
      <c r="AG13" s="47"/>
      <c r="AH13" s="47"/>
      <c r="AI13" s="56"/>
      <c r="AJ13" s="56"/>
      <c r="AK13" s="56"/>
      <c r="AL13" s="56"/>
      <c r="AM13" s="56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48"/>
      <c r="BC13" s="48"/>
      <c r="BD13" s="48"/>
      <c r="BE13" s="49"/>
      <c r="BF13" s="49"/>
      <c r="BG13" s="49"/>
      <c r="BH13" s="50"/>
      <c r="BI13" s="50"/>
      <c r="BJ13" s="51"/>
      <c r="BK13" s="51"/>
      <c r="BL13" s="52"/>
      <c r="BM13" s="52"/>
      <c r="BN13" s="52"/>
      <c r="BO13" s="53"/>
      <c r="BP13" s="53"/>
      <c r="BQ13" s="53"/>
      <c r="BR13" s="50"/>
      <c r="BS13" s="50"/>
      <c r="BT13" s="50"/>
      <c r="BU13" s="50"/>
      <c r="BV13" s="50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2:115" s="17" customFormat="1" ht="18" customHeight="1">
      <c r="B14" s="208" t="s">
        <v>62</v>
      </c>
      <c r="C14" s="208"/>
      <c r="D14" s="208"/>
      <c r="E14" s="208"/>
      <c r="F14" s="208"/>
      <c r="G14" s="208"/>
      <c r="H14" s="210">
        <f>H38+TEXT(2*$U$11*($X$11/1440)+($AI$11/1440)+($AW$11/1440),"hh:mm")</f>
        <v>0.6569444444444441</v>
      </c>
      <c r="I14" s="210"/>
      <c r="J14" s="210"/>
      <c r="K14" s="210"/>
      <c r="L14" s="17" t="s">
        <v>0</v>
      </c>
      <c r="T14" s="45" t="s">
        <v>1</v>
      </c>
      <c r="U14" s="211">
        <f>U11</f>
        <v>1</v>
      </c>
      <c r="V14" s="211"/>
      <c r="W14" s="46" t="s">
        <v>2</v>
      </c>
      <c r="X14" s="207">
        <f>X11</f>
        <v>10</v>
      </c>
      <c r="Y14" s="207"/>
      <c r="Z14" s="207"/>
      <c r="AA14" s="207"/>
      <c r="AB14" s="207"/>
      <c r="AC14" s="206">
        <f>IF(U14=2,"Halbzeit:","")</f>
      </c>
      <c r="AD14" s="206"/>
      <c r="AE14" s="206"/>
      <c r="AF14" s="206"/>
      <c r="AG14" s="206"/>
      <c r="AH14" s="206"/>
      <c r="AI14" s="420">
        <f>AI11</f>
        <v>0</v>
      </c>
      <c r="AJ14" s="420"/>
      <c r="AK14" s="420"/>
      <c r="AL14" s="420"/>
      <c r="AM14" s="420"/>
      <c r="AN14" s="208" t="s">
        <v>3</v>
      </c>
      <c r="AO14" s="208"/>
      <c r="AP14" s="208"/>
      <c r="AQ14" s="208"/>
      <c r="AR14" s="208"/>
      <c r="AS14" s="208"/>
      <c r="AT14" s="208"/>
      <c r="AU14" s="208"/>
      <c r="AV14" s="208"/>
      <c r="AW14" s="209">
        <f>AW11</f>
        <v>3</v>
      </c>
      <c r="AX14" s="209"/>
      <c r="AY14" s="209"/>
      <c r="AZ14" s="209"/>
      <c r="BA14" s="209"/>
      <c r="BB14" s="48"/>
      <c r="BC14" s="48"/>
      <c r="BD14" s="48"/>
      <c r="BE14" s="49"/>
      <c r="BF14" s="49"/>
      <c r="BG14" s="49"/>
      <c r="BH14" s="50"/>
      <c r="BI14" s="50"/>
      <c r="BJ14" s="51"/>
      <c r="BK14" s="51"/>
      <c r="BL14" s="52"/>
      <c r="BM14" s="52"/>
      <c r="BN14" s="52"/>
      <c r="BO14" s="53"/>
      <c r="BP14" s="53"/>
      <c r="BQ14" s="53"/>
      <c r="BR14" s="50"/>
      <c r="BS14" s="50"/>
      <c r="BT14" s="50"/>
      <c r="BU14" s="50"/>
      <c r="BV14" s="50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2:115" s="17" customFormat="1" ht="18" customHeight="1">
      <c r="B15" s="45"/>
      <c r="C15" s="45"/>
      <c r="D15" s="45"/>
      <c r="E15" s="45"/>
      <c r="F15" s="45"/>
      <c r="G15" s="45"/>
      <c r="H15" s="55"/>
      <c r="I15" s="55"/>
      <c r="J15" s="55"/>
      <c r="K15" s="55"/>
      <c r="T15" s="45"/>
      <c r="U15" s="46"/>
      <c r="V15" s="46"/>
      <c r="W15" s="46"/>
      <c r="X15" s="56"/>
      <c r="Y15" s="56"/>
      <c r="Z15" s="56"/>
      <c r="AA15" s="56"/>
      <c r="AB15" s="56"/>
      <c r="AC15" s="47"/>
      <c r="AD15" s="47"/>
      <c r="AE15" s="47"/>
      <c r="AF15" s="47"/>
      <c r="AG15" s="47"/>
      <c r="AH15" s="47"/>
      <c r="AI15" s="56"/>
      <c r="AJ15" s="56"/>
      <c r="AK15" s="56"/>
      <c r="AL15" s="56"/>
      <c r="AM15" s="56"/>
      <c r="AN15" s="45"/>
      <c r="AO15" s="45"/>
      <c r="AP15" s="45"/>
      <c r="AQ15" s="45"/>
      <c r="AR15" s="45"/>
      <c r="AS15" s="45"/>
      <c r="AT15" s="45"/>
      <c r="AU15" s="45"/>
      <c r="AV15" s="45"/>
      <c r="AW15" s="57"/>
      <c r="AX15" s="57"/>
      <c r="AY15" s="57"/>
      <c r="AZ15" s="57"/>
      <c r="BA15" s="57"/>
      <c r="BB15" s="48"/>
      <c r="BC15" s="48"/>
      <c r="BD15" s="48"/>
      <c r="BE15" s="49"/>
      <c r="BF15" s="49"/>
      <c r="BG15" s="49"/>
      <c r="BH15" s="50"/>
      <c r="BI15" s="50"/>
      <c r="BJ15" s="51"/>
      <c r="BK15" s="51"/>
      <c r="BL15" s="52"/>
      <c r="BM15" s="52"/>
      <c r="BN15" s="52"/>
      <c r="BO15" s="53"/>
      <c r="BP15" s="53"/>
      <c r="BQ15" s="53"/>
      <c r="BR15" s="50"/>
      <c r="BS15" s="50"/>
      <c r="BT15" s="50"/>
      <c r="BU15" s="50"/>
      <c r="BV15" s="50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3:86" s="22" customFormat="1" ht="15">
      <c r="C16" s="31" t="s">
        <v>4</v>
      </c>
      <c r="BO16" s="23"/>
      <c r="BP16" s="23"/>
      <c r="BQ16" s="23"/>
      <c r="BR16" s="23"/>
      <c r="BS16" s="23"/>
      <c r="BT16" s="24"/>
      <c r="BU16" s="25"/>
      <c r="BV16" s="25"/>
      <c r="BW16" s="25"/>
      <c r="BX16" s="24"/>
      <c r="BY16" s="25"/>
      <c r="BZ16" s="25"/>
      <c r="CA16" s="25"/>
      <c r="CB16" s="25"/>
      <c r="CC16" s="25"/>
      <c r="CD16" s="23"/>
      <c r="CE16" s="23"/>
      <c r="CF16" s="23"/>
      <c r="CG16" s="23"/>
      <c r="CH16" s="23"/>
    </row>
    <row r="17" ht="9.75" customHeight="1" thickBot="1"/>
    <row r="18" spans="4:80" s="22" customFormat="1" ht="15.75" thickBot="1">
      <c r="D18" s="340" t="s">
        <v>5</v>
      </c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2"/>
      <c r="AC18" s="337" t="s">
        <v>6</v>
      </c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9"/>
      <c r="BK18" s="23"/>
      <c r="BL18" s="23"/>
      <c r="BM18" s="23"/>
      <c r="BN18" s="23"/>
      <c r="BO18" s="23"/>
      <c r="BP18" s="23"/>
      <c r="BQ18" s="24"/>
      <c r="BR18" s="25"/>
      <c r="BS18" s="25"/>
      <c r="BT18" s="25"/>
      <c r="BU18" s="24"/>
      <c r="BV18" s="25"/>
      <c r="BW18" s="25"/>
      <c r="BX18" s="23"/>
      <c r="BY18" s="23"/>
      <c r="BZ18" s="23"/>
      <c r="CA18" s="23"/>
      <c r="CB18" s="23"/>
    </row>
    <row r="19" spans="3:80" s="22" customFormat="1" ht="18" customHeight="1">
      <c r="C19" s="117">
        <v>1</v>
      </c>
      <c r="D19" s="200" t="s">
        <v>81</v>
      </c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2"/>
      <c r="Y19" s="156" t="s">
        <v>58</v>
      </c>
      <c r="AB19" s="117">
        <v>1</v>
      </c>
      <c r="AC19" s="200" t="s">
        <v>85</v>
      </c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2"/>
      <c r="BK19" s="23"/>
      <c r="BL19" s="23"/>
      <c r="BM19" s="23"/>
      <c r="BN19" s="23"/>
      <c r="BO19" s="23"/>
      <c r="BP19" s="23"/>
      <c r="BQ19" s="24"/>
      <c r="BR19" s="25"/>
      <c r="BS19" s="25"/>
      <c r="BT19" s="25"/>
      <c r="BU19" s="24"/>
      <c r="BV19" s="25"/>
      <c r="BW19" s="25"/>
      <c r="BX19" s="23"/>
      <c r="BY19" s="23"/>
      <c r="BZ19" s="23"/>
      <c r="CA19" s="23"/>
      <c r="CB19" s="23"/>
    </row>
    <row r="20" spans="3:80" s="22" customFormat="1" ht="18" customHeight="1">
      <c r="C20" s="117">
        <v>2</v>
      </c>
      <c r="D20" s="197" t="s">
        <v>82</v>
      </c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9"/>
      <c r="Y20" s="156" t="s">
        <v>59</v>
      </c>
      <c r="AB20" s="117">
        <v>2</v>
      </c>
      <c r="AC20" s="197" t="s">
        <v>86</v>
      </c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9"/>
      <c r="BK20" s="23"/>
      <c r="BL20" s="23"/>
      <c r="BM20" s="23"/>
      <c r="BN20" s="23"/>
      <c r="BO20" s="23"/>
      <c r="BP20" s="23"/>
      <c r="BQ20" s="24"/>
      <c r="BR20" s="25"/>
      <c r="BS20" s="25"/>
      <c r="BT20" s="25"/>
      <c r="BU20" s="24"/>
      <c r="BV20" s="25"/>
      <c r="BW20" s="25"/>
      <c r="BX20" s="23"/>
      <c r="BY20" s="23"/>
      <c r="BZ20" s="23"/>
      <c r="CA20" s="23"/>
      <c r="CB20" s="23"/>
    </row>
    <row r="21" spans="3:80" s="22" customFormat="1" ht="18" customHeight="1">
      <c r="C21" s="117">
        <v>3</v>
      </c>
      <c r="D21" s="197" t="s">
        <v>83</v>
      </c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9"/>
      <c r="Y21" s="156" t="s">
        <v>60</v>
      </c>
      <c r="AB21" s="117">
        <v>3</v>
      </c>
      <c r="AC21" s="197" t="s">
        <v>87</v>
      </c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9"/>
      <c r="BK21" s="23"/>
      <c r="BL21" s="23"/>
      <c r="BM21" s="23"/>
      <c r="BN21" s="23"/>
      <c r="BO21" s="23"/>
      <c r="BP21" s="23"/>
      <c r="BQ21" s="24"/>
      <c r="BR21" s="25"/>
      <c r="BS21" s="25"/>
      <c r="BT21" s="25"/>
      <c r="BU21" s="24"/>
      <c r="BV21" s="25"/>
      <c r="BW21" s="25"/>
      <c r="BX21" s="23"/>
      <c r="BY21" s="23"/>
      <c r="BZ21" s="23"/>
      <c r="CA21" s="23"/>
      <c r="CB21" s="23"/>
    </row>
    <row r="22" spans="3:80" s="22" customFormat="1" ht="18" customHeight="1" thickBot="1">
      <c r="C22" s="117">
        <v>4</v>
      </c>
      <c r="D22" s="203" t="s">
        <v>84</v>
      </c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5"/>
      <c r="AB22" s="117">
        <v>4</v>
      </c>
      <c r="AC22" s="203" t="s">
        <v>88</v>
      </c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5"/>
      <c r="BJ22" s="23"/>
      <c r="BK22" s="23"/>
      <c r="BL22" s="23"/>
      <c r="BM22" s="23"/>
      <c r="BN22" s="24"/>
      <c r="BO22" s="25"/>
      <c r="BP22" s="25"/>
      <c r="BQ22" s="25"/>
      <c r="BR22" s="24"/>
      <c r="BS22" s="25"/>
      <c r="BT22" s="25"/>
      <c r="BU22" s="25"/>
      <c r="BV22" s="25"/>
      <c r="BW22" s="25"/>
      <c r="BX22" s="23"/>
      <c r="BY22" s="23"/>
      <c r="BZ22" s="23"/>
      <c r="CA22" s="23"/>
      <c r="CB22" s="23"/>
    </row>
    <row r="23" s="22" customFormat="1" ht="14.25"/>
    <row r="24" s="22" customFormat="1" ht="14.25" customHeight="1">
      <c r="C24" s="31" t="s">
        <v>8</v>
      </c>
    </row>
    <row r="25" s="22" customFormat="1" ht="18" customHeight="1" thickBot="1"/>
    <row r="26" spans="3:60" s="22" customFormat="1" ht="18" customHeight="1" thickBot="1">
      <c r="C26" s="325" t="s">
        <v>9</v>
      </c>
      <c r="D26" s="326"/>
      <c r="E26" s="302" t="s">
        <v>10</v>
      </c>
      <c r="F26" s="303"/>
      <c r="G26" s="327"/>
      <c r="H26" s="302" t="s">
        <v>63</v>
      </c>
      <c r="I26" s="303"/>
      <c r="J26" s="303"/>
      <c r="K26" s="327"/>
      <c r="L26" s="302" t="s">
        <v>11</v>
      </c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27"/>
      <c r="BC26" s="302" t="s">
        <v>12</v>
      </c>
      <c r="BD26" s="303"/>
      <c r="BE26" s="303"/>
      <c r="BF26" s="303"/>
      <c r="BG26" s="303"/>
      <c r="BH26" s="118"/>
    </row>
    <row r="27" spans="3:60" s="22" customFormat="1" ht="18" customHeight="1">
      <c r="C27" s="293">
        <v>1</v>
      </c>
      <c r="D27" s="294"/>
      <c r="E27" s="294" t="s">
        <v>13</v>
      </c>
      <c r="F27" s="294"/>
      <c r="G27" s="294"/>
      <c r="H27" s="402">
        <f>$H$11</f>
        <v>0.5416666666666666</v>
      </c>
      <c r="I27" s="403"/>
      <c r="J27" s="403"/>
      <c r="K27" s="404"/>
      <c r="L27" s="312" t="str">
        <f>$D$19</f>
        <v>SVM Senioren I</v>
      </c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120" t="s">
        <v>14</v>
      </c>
      <c r="AH27" s="287" t="str">
        <f>$D$20</f>
        <v>SVM Senioren III</v>
      </c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88"/>
      <c r="BC27" s="304"/>
      <c r="BD27" s="305"/>
      <c r="BE27" s="305"/>
      <c r="BF27" s="307"/>
      <c r="BG27" s="307"/>
      <c r="BH27" s="121"/>
    </row>
    <row r="28" spans="3:60" s="22" customFormat="1" ht="18" customHeight="1" thickBot="1">
      <c r="C28" s="291">
        <v>2</v>
      </c>
      <c r="D28" s="292"/>
      <c r="E28" s="292" t="s">
        <v>13</v>
      </c>
      <c r="F28" s="292"/>
      <c r="G28" s="292"/>
      <c r="H28" s="331">
        <f>H27+TEXT($U$11*($X$11/1440)+($AI$11/1440)+($AW$11/1440),"hh:mm")</f>
        <v>0.5506944444444444</v>
      </c>
      <c r="I28" s="332"/>
      <c r="J28" s="332"/>
      <c r="K28" s="333"/>
      <c r="L28" s="334" t="str">
        <f>$D$21</f>
        <v>Esch</v>
      </c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109" t="s">
        <v>14</v>
      </c>
      <c r="AH28" s="285" t="str">
        <f>$D$22</f>
        <v>B-Jugend</v>
      </c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6"/>
      <c r="BC28" s="224"/>
      <c r="BD28" s="225"/>
      <c r="BE28" s="225"/>
      <c r="BF28" s="222"/>
      <c r="BG28" s="223"/>
      <c r="BH28" s="121"/>
    </row>
    <row r="29" spans="3:60" s="22" customFormat="1" ht="18" customHeight="1">
      <c r="C29" s="329">
        <v>3</v>
      </c>
      <c r="D29" s="330"/>
      <c r="E29" s="330" t="s">
        <v>15</v>
      </c>
      <c r="F29" s="330"/>
      <c r="G29" s="330"/>
      <c r="H29" s="344">
        <f aca="true" t="shared" si="0" ref="H29:H37">H28+TEXT($U$11*($X$11/1440)+($AI$11/1440)+($AW$11/1440),"hh:mm")</f>
        <v>0.5597222222222221</v>
      </c>
      <c r="I29" s="345"/>
      <c r="J29" s="345"/>
      <c r="K29" s="346"/>
      <c r="L29" s="289" t="str">
        <f>$AC$19</f>
        <v>SVM Senioren II</v>
      </c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191" t="s">
        <v>14</v>
      </c>
      <c r="AH29" s="290" t="str">
        <f>$AC$20</f>
        <v>Eifelboyz</v>
      </c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308"/>
      <c r="BC29" s="226"/>
      <c r="BD29" s="227"/>
      <c r="BE29" s="227"/>
      <c r="BF29" s="306"/>
      <c r="BG29" s="306"/>
      <c r="BH29" s="121"/>
    </row>
    <row r="30" spans="3:60" s="22" customFormat="1" ht="18" customHeight="1" thickBot="1">
      <c r="C30" s="291">
        <v>4</v>
      </c>
      <c r="D30" s="292"/>
      <c r="E30" s="292" t="s">
        <v>15</v>
      </c>
      <c r="F30" s="292"/>
      <c r="G30" s="292"/>
      <c r="H30" s="331">
        <f t="shared" si="0"/>
        <v>0.5687499999999999</v>
      </c>
      <c r="I30" s="332"/>
      <c r="J30" s="332"/>
      <c r="K30" s="333"/>
      <c r="L30" s="334" t="str">
        <f>$AC$21</f>
        <v>A-Jugend (m)</v>
      </c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109" t="s">
        <v>14</v>
      </c>
      <c r="AH30" s="285" t="str">
        <f>$AC$22</f>
        <v>A-Jugend (w)</v>
      </c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6"/>
      <c r="BC30" s="224"/>
      <c r="BD30" s="225"/>
      <c r="BE30" s="225"/>
      <c r="BF30" s="222"/>
      <c r="BG30" s="223"/>
      <c r="BH30" s="121"/>
    </row>
    <row r="31" spans="3:60" s="22" customFormat="1" ht="18" customHeight="1">
      <c r="C31" s="329">
        <v>5</v>
      </c>
      <c r="D31" s="330"/>
      <c r="E31" s="330" t="s">
        <v>13</v>
      </c>
      <c r="F31" s="330"/>
      <c r="G31" s="330"/>
      <c r="H31" s="344">
        <f t="shared" si="0"/>
        <v>0.5777777777777776</v>
      </c>
      <c r="I31" s="345"/>
      <c r="J31" s="345"/>
      <c r="K31" s="346"/>
      <c r="L31" s="289" t="str">
        <f>$D$19</f>
        <v>SVM Senioren I</v>
      </c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191" t="s">
        <v>14</v>
      </c>
      <c r="AH31" s="290" t="str">
        <f>$D$21</f>
        <v>Esch</v>
      </c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308"/>
      <c r="BC31" s="226"/>
      <c r="BD31" s="227"/>
      <c r="BE31" s="227"/>
      <c r="BF31" s="306"/>
      <c r="BG31" s="306"/>
      <c r="BH31" s="121"/>
    </row>
    <row r="32" spans="3:60" s="22" customFormat="1" ht="18" customHeight="1" thickBot="1">
      <c r="C32" s="291">
        <v>6</v>
      </c>
      <c r="D32" s="292"/>
      <c r="E32" s="292" t="s">
        <v>13</v>
      </c>
      <c r="F32" s="292"/>
      <c r="G32" s="292"/>
      <c r="H32" s="331">
        <f t="shared" si="0"/>
        <v>0.5868055555555554</v>
      </c>
      <c r="I32" s="332"/>
      <c r="J32" s="332"/>
      <c r="K32" s="333"/>
      <c r="L32" s="334" t="str">
        <f>$D$20</f>
        <v>SVM Senioren III</v>
      </c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109" t="s">
        <v>14</v>
      </c>
      <c r="AH32" s="285" t="str">
        <f>$D$22</f>
        <v>B-Jugend</v>
      </c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6"/>
      <c r="BC32" s="224"/>
      <c r="BD32" s="225"/>
      <c r="BE32" s="225"/>
      <c r="BF32" s="222"/>
      <c r="BG32" s="223"/>
      <c r="BH32" s="121"/>
    </row>
    <row r="33" spans="3:60" s="22" customFormat="1" ht="18" customHeight="1">
      <c r="C33" s="329">
        <v>7</v>
      </c>
      <c r="D33" s="330"/>
      <c r="E33" s="330" t="s">
        <v>15</v>
      </c>
      <c r="F33" s="330"/>
      <c r="G33" s="330"/>
      <c r="H33" s="344">
        <f t="shared" si="0"/>
        <v>0.5958333333333331</v>
      </c>
      <c r="I33" s="345"/>
      <c r="J33" s="345"/>
      <c r="K33" s="346"/>
      <c r="L33" s="289" t="str">
        <f>$AC$19</f>
        <v>SVM Senioren II</v>
      </c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191" t="s">
        <v>14</v>
      </c>
      <c r="AH33" s="290" t="str">
        <f>$AC$21</f>
        <v>A-Jugend (m)</v>
      </c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308"/>
      <c r="BC33" s="226"/>
      <c r="BD33" s="227"/>
      <c r="BE33" s="227"/>
      <c r="BF33" s="306"/>
      <c r="BG33" s="306"/>
      <c r="BH33" s="121"/>
    </row>
    <row r="34" spans="3:60" s="22" customFormat="1" ht="18" customHeight="1" thickBot="1">
      <c r="C34" s="291">
        <v>8</v>
      </c>
      <c r="D34" s="292"/>
      <c r="E34" s="292" t="s">
        <v>15</v>
      </c>
      <c r="F34" s="292"/>
      <c r="G34" s="292"/>
      <c r="H34" s="331">
        <f t="shared" si="0"/>
        <v>0.6048611111111108</v>
      </c>
      <c r="I34" s="332"/>
      <c r="J34" s="332"/>
      <c r="K34" s="333"/>
      <c r="L34" s="334" t="str">
        <f>$AC$20</f>
        <v>Eifelboyz</v>
      </c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109" t="s">
        <v>14</v>
      </c>
      <c r="AH34" s="285" t="str">
        <f>$AC$22</f>
        <v>A-Jugend (w)</v>
      </c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6"/>
      <c r="BC34" s="224"/>
      <c r="BD34" s="225"/>
      <c r="BE34" s="225"/>
      <c r="BF34" s="222"/>
      <c r="BG34" s="223"/>
      <c r="BH34" s="121"/>
    </row>
    <row r="35" spans="3:60" s="22" customFormat="1" ht="18" customHeight="1">
      <c r="C35" s="329">
        <v>9</v>
      </c>
      <c r="D35" s="330"/>
      <c r="E35" s="330" t="s">
        <v>13</v>
      </c>
      <c r="F35" s="330"/>
      <c r="G35" s="330"/>
      <c r="H35" s="344">
        <f t="shared" si="0"/>
        <v>0.6138888888888886</v>
      </c>
      <c r="I35" s="345"/>
      <c r="J35" s="345"/>
      <c r="K35" s="346"/>
      <c r="L35" s="289" t="str">
        <f>$D$22</f>
        <v>B-Jugend</v>
      </c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191" t="s">
        <v>14</v>
      </c>
      <c r="AH35" s="290" t="str">
        <f>$D$19</f>
        <v>SVM Senioren I</v>
      </c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308"/>
      <c r="BC35" s="226"/>
      <c r="BD35" s="227"/>
      <c r="BE35" s="227"/>
      <c r="BF35" s="306"/>
      <c r="BG35" s="306"/>
      <c r="BH35" s="121"/>
    </row>
    <row r="36" spans="3:60" s="22" customFormat="1" ht="18" customHeight="1" thickBot="1">
      <c r="C36" s="291">
        <v>10</v>
      </c>
      <c r="D36" s="292"/>
      <c r="E36" s="292" t="s">
        <v>13</v>
      </c>
      <c r="F36" s="292"/>
      <c r="G36" s="292"/>
      <c r="H36" s="331">
        <f t="shared" si="0"/>
        <v>0.6229166666666663</v>
      </c>
      <c r="I36" s="332"/>
      <c r="J36" s="332"/>
      <c r="K36" s="333"/>
      <c r="L36" s="334" t="str">
        <f>$D$21</f>
        <v>Esch</v>
      </c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109" t="s">
        <v>14</v>
      </c>
      <c r="AH36" s="285" t="str">
        <f>$D$20</f>
        <v>SVM Senioren III</v>
      </c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6"/>
      <c r="BC36" s="224"/>
      <c r="BD36" s="225"/>
      <c r="BE36" s="225"/>
      <c r="BF36" s="222"/>
      <c r="BG36" s="223"/>
      <c r="BH36" s="121"/>
    </row>
    <row r="37" spans="3:60" s="22" customFormat="1" ht="18" customHeight="1">
      <c r="C37" s="329">
        <v>11</v>
      </c>
      <c r="D37" s="330"/>
      <c r="E37" s="330" t="s">
        <v>15</v>
      </c>
      <c r="F37" s="330"/>
      <c r="G37" s="330"/>
      <c r="H37" s="344">
        <f t="shared" si="0"/>
        <v>0.6319444444444441</v>
      </c>
      <c r="I37" s="345"/>
      <c r="J37" s="345"/>
      <c r="K37" s="346"/>
      <c r="L37" s="289" t="str">
        <f>$AC$22</f>
        <v>A-Jugend (w)</v>
      </c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191" t="s">
        <v>14</v>
      </c>
      <c r="AH37" s="290" t="str">
        <f>$AC$19</f>
        <v>SVM Senioren II</v>
      </c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308"/>
      <c r="BC37" s="226"/>
      <c r="BD37" s="227"/>
      <c r="BE37" s="227"/>
      <c r="BF37" s="306"/>
      <c r="BG37" s="306"/>
      <c r="BH37" s="121"/>
    </row>
    <row r="38" spans="3:130" s="22" customFormat="1" ht="18" customHeight="1" thickBot="1">
      <c r="C38" s="291">
        <v>12</v>
      </c>
      <c r="D38" s="292"/>
      <c r="E38" s="292" t="s">
        <v>15</v>
      </c>
      <c r="F38" s="292"/>
      <c r="G38" s="292"/>
      <c r="H38" s="331">
        <f>H37+TEXT($U$11*($X$11/1440)+($AI$11/1440)+($AW$11/1440),"hh:mm")</f>
        <v>0.6409722222222218</v>
      </c>
      <c r="I38" s="332"/>
      <c r="J38" s="332"/>
      <c r="K38" s="333"/>
      <c r="L38" s="334" t="str">
        <f>$AC$21</f>
        <v>A-Jugend (m)</v>
      </c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109" t="s">
        <v>14</v>
      </c>
      <c r="AH38" s="285" t="str">
        <f>$AC$20</f>
        <v>Eifelboyz</v>
      </c>
      <c r="AI38" s="285"/>
      <c r="AJ38" s="285"/>
      <c r="AK38" s="285"/>
      <c r="AL38" s="285"/>
      <c r="AM38" s="285"/>
      <c r="AN38" s="285"/>
      <c r="AO38" s="285"/>
      <c r="AP38" s="285"/>
      <c r="AQ38" s="285"/>
      <c r="AR38" s="285"/>
      <c r="AS38" s="285"/>
      <c r="AT38" s="285"/>
      <c r="AU38" s="285"/>
      <c r="AV38" s="285"/>
      <c r="AW38" s="285"/>
      <c r="AX38" s="285"/>
      <c r="AY38" s="285"/>
      <c r="AZ38" s="285"/>
      <c r="BA38" s="285"/>
      <c r="BB38" s="286"/>
      <c r="BC38" s="224"/>
      <c r="BD38" s="225"/>
      <c r="BE38" s="225"/>
      <c r="BF38" s="222"/>
      <c r="BG38" s="222"/>
      <c r="BH38" s="121"/>
      <c r="DY38" s="131"/>
      <c r="DZ38" s="131"/>
    </row>
    <row r="39" s="22" customFormat="1" ht="18" customHeight="1"/>
    <row r="40" spans="11:107" s="22" customFormat="1" ht="20.25" customHeight="1" thickBot="1">
      <c r="K40" s="31" t="s">
        <v>79</v>
      </c>
      <c r="BX40" s="139"/>
      <c r="BY40" s="139"/>
      <c r="BZ40" s="139"/>
      <c r="CA40" s="139"/>
      <c r="CB40" s="139"/>
      <c r="CC40" s="139"/>
      <c r="CD40" s="140"/>
      <c r="CE40" s="140"/>
      <c r="CF40" s="141"/>
      <c r="CG40" s="141"/>
      <c r="CH40" s="141"/>
      <c r="CI40" s="141"/>
      <c r="CJ40" s="141"/>
      <c r="CK40" s="140"/>
      <c r="CL40" s="140"/>
      <c r="CM40" s="139"/>
      <c r="CN40" s="139"/>
      <c r="CO40" s="139"/>
      <c r="CP40" s="139"/>
      <c r="CQ40" s="139"/>
      <c r="CR40" s="139"/>
      <c r="CS40" s="139"/>
      <c r="CT40" s="142"/>
      <c r="CU40" s="139"/>
      <c r="CV40" s="139"/>
      <c r="CW40" s="23"/>
      <c r="CX40" s="23"/>
      <c r="CY40" s="23"/>
      <c r="CZ40" s="23"/>
      <c r="DA40" s="23"/>
      <c r="DB40" s="23"/>
      <c r="DC40" s="23"/>
    </row>
    <row r="41" spans="3:80" s="22" customFormat="1" ht="18" customHeight="1">
      <c r="C41" s="32"/>
      <c r="D41" s="32"/>
      <c r="E41" s="32"/>
      <c r="F41" s="32"/>
      <c r="G41" s="32"/>
      <c r="H41" s="32"/>
      <c r="I41" s="32"/>
      <c r="K41" s="31"/>
      <c r="AH41" s="241" t="str">
        <f>M49</f>
        <v>SVM Senioren I</v>
      </c>
      <c r="AI41" s="242"/>
      <c r="AJ41" s="243"/>
      <c r="AK41" s="256" t="str">
        <f>M50</f>
        <v>SVM Senioren III</v>
      </c>
      <c r="AL41" s="242"/>
      <c r="AM41" s="243"/>
      <c r="AN41" s="256" t="str">
        <f>M51</f>
        <v>Esch</v>
      </c>
      <c r="AO41" s="242"/>
      <c r="AP41" s="243"/>
      <c r="AQ41" s="256" t="str">
        <f>M52</f>
        <v>B-Jugend</v>
      </c>
      <c r="AR41" s="242"/>
      <c r="AS41" s="257"/>
      <c r="BQ41" s="25"/>
      <c r="BR41" s="24"/>
      <c r="BS41" s="25"/>
      <c r="BT41" s="25"/>
      <c r="BU41" s="25"/>
      <c r="BV41" s="25"/>
      <c r="BW41" s="25"/>
      <c r="BX41" s="23"/>
      <c r="BY41" s="23"/>
      <c r="BZ41" s="23"/>
      <c r="CA41" s="23"/>
      <c r="CB41" s="23"/>
    </row>
    <row r="42" spans="3:87" s="22" customFormat="1" ht="18" customHeight="1">
      <c r="C42" s="32"/>
      <c r="D42" s="32"/>
      <c r="E42" s="32"/>
      <c r="F42" s="32"/>
      <c r="G42" s="32"/>
      <c r="H42" s="32"/>
      <c r="I42" s="32"/>
      <c r="K42" s="31"/>
      <c r="AH42" s="244"/>
      <c r="AI42" s="245"/>
      <c r="AJ42" s="246"/>
      <c r="AK42" s="258"/>
      <c r="AL42" s="245"/>
      <c r="AM42" s="246"/>
      <c r="AN42" s="258"/>
      <c r="AO42" s="245"/>
      <c r="AP42" s="246"/>
      <c r="AQ42" s="258"/>
      <c r="AR42" s="245"/>
      <c r="AS42" s="259"/>
      <c r="BQ42" s="23"/>
      <c r="BR42" s="23"/>
      <c r="BS42" s="23"/>
      <c r="BT42" s="23"/>
      <c r="BU42" s="24"/>
      <c r="BV42" s="25"/>
      <c r="BW42" s="25"/>
      <c r="BX42" s="25"/>
      <c r="BY42" s="24"/>
      <c r="BZ42" s="25"/>
      <c r="CA42" s="25"/>
      <c r="CB42" s="25"/>
      <c r="CC42" s="25"/>
      <c r="CD42" s="25"/>
      <c r="CE42" s="23"/>
      <c r="CF42" s="23"/>
      <c r="CG42" s="23"/>
      <c r="CH42" s="23"/>
      <c r="CI42" s="23"/>
    </row>
    <row r="43" spans="1:87" s="22" customFormat="1" ht="18" customHeight="1">
      <c r="A43" s="119"/>
      <c r="C43" s="32"/>
      <c r="D43" s="32"/>
      <c r="E43" s="32"/>
      <c r="F43" s="32"/>
      <c r="G43" s="32"/>
      <c r="H43" s="32"/>
      <c r="I43" s="32"/>
      <c r="K43" s="31"/>
      <c r="AH43" s="244"/>
      <c r="AI43" s="245"/>
      <c r="AJ43" s="246"/>
      <c r="AK43" s="258"/>
      <c r="AL43" s="245"/>
      <c r="AM43" s="246"/>
      <c r="AN43" s="258"/>
      <c r="AO43" s="245"/>
      <c r="AP43" s="246"/>
      <c r="AQ43" s="258"/>
      <c r="AR43" s="245"/>
      <c r="AS43" s="259"/>
      <c r="BQ43" s="23"/>
      <c r="BR43" s="23"/>
      <c r="BS43" s="23"/>
      <c r="BT43" s="23"/>
      <c r="BU43" s="24"/>
      <c r="BV43" s="25"/>
      <c r="BW43" s="25"/>
      <c r="BX43" s="25"/>
      <c r="BY43" s="24"/>
      <c r="BZ43" s="25"/>
      <c r="CA43" s="25"/>
      <c r="CB43" s="25"/>
      <c r="CC43" s="25"/>
      <c r="CD43" s="25"/>
      <c r="CE43" s="23"/>
      <c r="CF43" s="23"/>
      <c r="CG43" s="23"/>
      <c r="CH43" s="23"/>
      <c r="CI43" s="23"/>
    </row>
    <row r="44" spans="1:87" s="22" customFormat="1" ht="18" customHeight="1">
      <c r="A44" s="122"/>
      <c r="C44" s="32"/>
      <c r="D44" s="32"/>
      <c r="E44" s="32"/>
      <c r="F44" s="32"/>
      <c r="G44" s="32"/>
      <c r="H44" s="32"/>
      <c r="I44" s="32"/>
      <c r="K44" s="31"/>
      <c r="AH44" s="244"/>
      <c r="AI44" s="245"/>
      <c r="AJ44" s="246"/>
      <c r="AK44" s="258"/>
      <c r="AL44" s="245"/>
      <c r="AM44" s="246"/>
      <c r="AN44" s="258"/>
      <c r="AO44" s="245"/>
      <c r="AP44" s="246"/>
      <c r="AQ44" s="258"/>
      <c r="AR44" s="245"/>
      <c r="AS44" s="259"/>
      <c r="BQ44" s="23"/>
      <c r="BR44" s="23"/>
      <c r="BS44" s="23"/>
      <c r="BT44" s="23"/>
      <c r="BU44" s="24"/>
      <c r="BV44" s="25"/>
      <c r="BW44" s="25"/>
      <c r="BX44" s="25"/>
      <c r="BY44" s="24"/>
      <c r="BZ44" s="25"/>
      <c r="CA44" s="25"/>
      <c r="CB44" s="25"/>
      <c r="CC44" s="25"/>
      <c r="CD44" s="25"/>
      <c r="CE44" s="23"/>
      <c r="CF44" s="23"/>
      <c r="CG44" s="23"/>
      <c r="CH44" s="23"/>
      <c r="CI44" s="23"/>
    </row>
    <row r="45" spans="1:128" s="22" customFormat="1" ht="18" customHeight="1">
      <c r="A45" s="122"/>
      <c r="C45" s="32"/>
      <c r="D45" s="32"/>
      <c r="E45" s="32"/>
      <c r="F45" s="32"/>
      <c r="G45" s="32"/>
      <c r="H45" s="32"/>
      <c r="I45" s="32"/>
      <c r="K45" s="31"/>
      <c r="AH45" s="244"/>
      <c r="AI45" s="245"/>
      <c r="AJ45" s="246"/>
      <c r="AK45" s="258"/>
      <c r="AL45" s="245"/>
      <c r="AM45" s="246"/>
      <c r="AN45" s="258"/>
      <c r="AO45" s="245"/>
      <c r="AP45" s="246"/>
      <c r="AQ45" s="258"/>
      <c r="AR45" s="245"/>
      <c r="AS45" s="259"/>
      <c r="BQ45" s="58"/>
      <c r="BR45" s="58"/>
      <c r="BS45" s="58"/>
      <c r="BT45" s="146"/>
      <c r="BU45" s="147"/>
      <c r="BV45" s="147"/>
      <c r="BW45" s="147"/>
      <c r="BX45" s="146"/>
      <c r="BY45" s="147"/>
      <c r="BZ45" s="147"/>
      <c r="CA45" s="147"/>
      <c r="CB45" s="147"/>
      <c r="CC45" s="147"/>
      <c r="CD45" s="58"/>
      <c r="CE45" s="58"/>
      <c r="CF45" s="58"/>
      <c r="CG45" s="58"/>
      <c r="CH45" s="58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</row>
    <row r="46" spans="1:86" s="22" customFormat="1" ht="18" customHeight="1">
      <c r="A46" s="122"/>
      <c r="C46" s="32"/>
      <c r="D46" s="32"/>
      <c r="E46" s="32"/>
      <c r="F46" s="32"/>
      <c r="G46" s="32"/>
      <c r="H46" s="32"/>
      <c r="I46" s="32"/>
      <c r="K46" s="31"/>
      <c r="AH46" s="244"/>
      <c r="AI46" s="245"/>
      <c r="AJ46" s="246"/>
      <c r="AK46" s="258"/>
      <c r="AL46" s="245"/>
      <c r="AM46" s="246"/>
      <c r="AN46" s="258"/>
      <c r="AO46" s="245"/>
      <c r="AP46" s="246"/>
      <c r="AQ46" s="258"/>
      <c r="AR46" s="245"/>
      <c r="AS46" s="259"/>
      <c r="BQ46" s="23"/>
      <c r="BR46" s="23"/>
      <c r="BS46" s="23"/>
      <c r="BT46" s="24"/>
      <c r="BU46" s="25"/>
      <c r="BV46" s="25"/>
      <c r="BW46" s="25"/>
      <c r="BX46" s="24"/>
      <c r="BY46" s="25"/>
      <c r="BZ46" s="25"/>
      <c r="CA46" s="25"/>
      <c r="CB46" s="25"/>
      <c r="CC46" s="25"/>
      <c r="CD46" s="23"/>
      <c r="CE46" s="23"/>
      <c r="CF46" s="23"/>
      <c r="CG46" s="23"/>
      <c r="CH46" s="23"/>
    </row>
    <row r="47" spans="1:128" s="22" customFormat="1" ht="18" customHeight="1" thickBot="1">
      <c r="A47" s="122"/>
      <c r="C47" s="296" t="s">
        <v>16</v>
      </c>
      <c r="D47" s="297"/>
      <c r="E47" s="297"/>
      <c r="F47" s="297"/>
      <c r="G47" s="297"/>
      <c r="H47" s="297"/>
      <c r="I47" s="298"/>
      <c r="AH47" s="244"/>
      <c r="AI47" s="245"/>
      <c r="AJ47" s="246"/>
      <c r="AK47" s="258"/>
      <c r="AL47" s="245"/>
      <c r="AM47" s="246"/>
      <c r="AN47" s="258"/>
      <c r="AO47" s="245"/>
      <c r="AP47" s="246"/>
      <c r="AQ47" s="258"/>
      <c r="AR47" s="245"/>
      <c r="AS47" s="259"/>
      <c r="BQ47" s="28"/>
      <c r="BR47" s="28"/>
      <c r="BS47" s="28"/>
      <c r="BT47" s="29"/>
      <c r="BU47" s="28"/>
      <c r="BV47" s="28"/>
      <c r="BW47" s="28"/>
      <c r="BX47" s="29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</row>
    <row r="48" spans="1:86" s="22" customFormat="1" ht="18" customHeight="1" thickBot="1">
      <c r="A48" s="122"/>
      <c r="C48" s="299" t="s">
        <v>17</v>
      </c>
      <c r="D48" s="300"/>
      <c r="E48" s="300"/>
      <c r="F48" s="301"/>
      <c r="G48" s="299" t="s">
        <v>18</v>
      </c>
      <c r="H48" s="300"/>
      <c r="I48" s="301"/>
      <c r="K48" s="230" t="str">
        <f>IF(' '!L9=0,D18,IF(' '!B9&lt;&gt;' '!L9,"es liegen nicht alle Ergebnisse vor",D18))</f>
        <v>Gruppe A</v>
      </c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2"/>
      <c r="AH48" s="247"/>
      <c r="AI48" s="248"/>
      <c r="AJ48" s="249"/>
      <c r="AK48" s="260"/>
      <c r="AL48" s="248"/>
      <c r="AM48" s="249"/>
      <c r="AN48" s="260"/>
      <c r="AO48" s="248"/>
      <c r="AP48" s="249"/>
      <c r="AQ48" s="260"/>
      <c r="AR48" s="248"/>
      <c r="AS48" s="261"/>
      <c r="AT48" s="231" t="s">
        <v>19</v>
      </c>
      <c r="AU48" s="231"/>
      <c r="AV48" s="373"/>
      <c r="AW48" s="371" t="s">
        <v>20</v>
      </c>
      <c r="AX48" s="231"/>
      <c r="AY48" s="373"/>
      <c r="AZ48" s="371" t="s">
        <v>21</v>
      </c>
      <c r="BA48" s="231"/>
      <c r="BB48" s="373"/>
      <c r="BC48" s="371" t="s">
        <v>22</v>
      </c>
      <c r="BD48" s="231"/>
      <c r="BE48" s="373"/>
      <c r="BF48" s="372" t="s">
        <v>23</v>
      </c>
      <c r="BG48" s="372"/>
      <c r="BH48" s="372"/>
      <c r="BI48" s="372"/>
      <c r="BJ48" s="372"/>
      <c r="BK48" s="372" t="s">
        <v>24</v>
      </c>
      <c r="BL48" s="372"/>
      <c r="BM48" s="371"/>
      <c r="BN48" s="371" t="s">
        <v>25</v>
      </c>
      <c r="BO48" s="231"/>
      <c r="BP48" s="232"/>
      <c r="BQ48" s="23"/>
      <c r="BR48" s="23"/>
      <c r="BS48" s="23"/>
      <c r="BT48" s="24"/>
      <c r="BU48" s="25"/>
      <c r="BV48" s="25"/>
      <c r="BW48" s="25"/>
      <c r="BX48" s="24"/>
      <c r="BY48" s="25"/>
      <c r="BZ48" s="25"/>
      <c r="CA48" s="25"/>
      <c r="CB48" s="25"/>
      <c r="CC48" s="25"/>
      <c r="CD48" s="23"/>
      <c r="CE48" s="23"/>
      <c r="CF48" s="23"/>
      <c r="CG48" s="23"/>
      <c r="CH48" s="23"/>
    </row>
    <row r="49" spans="1:88" s="22" customFormat="1" ht="18" customHeight="1">
      <c r="A49" s="122"/>
      <c r="C49" s="295"/>
      <c r="D49" s="295"/>
      <c r="E49" s="295"/>
      <c r="F49" s="295"/>
      <c r="G49" s="295"/>
      <c r="H49" s="295"/>
      <c r="I49" s="295"/>
      <c r="K49" s="239">
        <f>IF(' '!$L$9=0,"",1)</f>
      </c>
      <c r="L49" s="240"/>
      <c r="M49" s="237" t="str">
        <f>IF(' '!$L$9=0,D19,VLOOKUP(' '!B5,' '!$C$5:$O$8,4,0))</f>
        <v>SVM Senioren I</v>
      </c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73"/>
      <c r="AI49" s="273"/>
      <c r="AJ49" s="274"/>
      <c r="AK49" s="271">
        <f>IF(AND(M49&amp;$AK$41=VLOOKUP(M49&amp;$AK$41,' '!$D$23:$H$46,1,0),VLOOKUP(M49&amp;$AK$41,' '!$D$23:$H$46,4,0)&lt;&gt;""),VLOOKUP(M49&amp;$AK$41,' '!$D$23:$H$46,4,0),VLOOKUP(M49&amp;$AK$41,' '!$D$23:$H$46,5,0))</f>
      </c>
      <c r="AL49" s="271"/>
      <c r="AM49" s="271"/>
      <c r="AN49" s="271">
        <f>IF(AND(M49&amp;$AN$41=VLOOKUP(M49&amp;$AN$41,' '!$D$23:$H$46,1,0),VLOOKUP(M49&amp;$AN$41,' '!$D$23:$H$46,4,0)&lt;&gt;""),VLOOKUP(M49&amp;$AN$41,' '!$D$23:$H$46,4,0),VLOOKUP(M49&amp;$AN$41,' '!$D$23:$H$46,5,0))</f>
      </c>
      <c r="AO49" s="271"/>
      <c r="AP49" s="271"/>
      <c r="AQ49" s="269">
        <f>IF(AND(M49&amp;$AQ$41=VLOOKUP(M49&amp;$AQ$41,' '!$D$23:$H$46,1,0),VLOOKUP(M49&amp;$AQ$41,' '!$D$23:$H$46,4,0)&lt;&gt;""),VLOOKUP(M49&amp;$AQ$41,' '!$D$23:$H$46,4,0),VLOOKUP(M49&amp;$AQ$41,' '!$D$23:$H$46,5,0))</f>
      </c>
      <c r="AR49" s="270"/>
      <c r="AS49" s="270"/>
      <c r="AT49" s="270">
        <f>IF(' '!$L$9=0,"",VLOOKUP(' '!B5,' '!$C$5:$O$8,10,0))</f>
      </c>
      <c r="AU49" s="270"/>
      <c r="AV49" s="366"/>
      <c r="AW49" s="271">
        <f>IF(' '!$L$9=0,"",VLOOKUP(' '!B5,' '!$C$5:$O$8,11,0))</f>
      </c>
      <c r="AX49" s="271"/>
      <c r="AY49" s="271"/>
      <c r="AZ49" s="271">
        <f>IF(' '!$L$9=0,"",VLOOKUP(' '!B5,' '!$C$5:$O$8,12,0))</f>
      </c>
      <c r="BA49" s="271"/>
      <c r="BB49" s="271"/>
      <c r="BC49" s="271">
        <f>IF(' '!$L$9=0,"",VLOOKUP(' '!B5,' '!$C$5:$O$8,13,0))</f>
      </c>
      <c r="BD49" s="271"/>
      <c r="BE49" s="271"/>
      <c r="BF49" s="362">
        <f>IF(' '!$L$9=0,"",VLOOKUP(' '!B5,' '!$C$5:$O$8,5,0))</f>
      </c>
      <c r="BG49" s="362"/>
      <c r="BH49" s="123">
        <f>IF(' '!$L$9=0,"",":")</f>
      </c>
      <c r="BI49" s="363">
        <f>IF(' '!$L$9=0,"",VLOOKUP(' '!B5,' '!$C$5:$O$8,6,0))</f>
      </c>
      <c r="BJ49" s="271"/>
      <c r="BK49" s="374">
        <f>IF(' '!$L$9=0,"",BF49-BI49)</f>
      </c>
      <c r="BL49" s="374"/>
      <c r="BM49" s="375"/>
      <c r="BN49" s="271">
        <f>IF(' '!$L$9=0,"",VLOOKUP(' '!B5,' '!$C$5:$O$8,7,0))</f>
      </c>
      <c r="BO49" s="271"/>
      <c r="BP49" s="269"/>
      <c r="BQ49" s="140"/>
      <c r="BR49" s="140"/>
      <c r="BS49" s="140"/>
      <c r="BT49" s="141"/>
      <c r="BU49" s="140"/>
      <c r="BV49" s="140"/>
      <c r="BW49" s="139"/>
      <c r="BX49" s="139"/>
      <c r="BY49" s="139"/>
      <c r="BZ49" s="139"/>
      <c r="CA49" s="139"/>
      <c r="CB49" s="139"/>
      <c r="CC49" s="139"/>
      <c r="CD49" s="23"/>
      <c r="CE49" s="23"/>
      <c r="CF49" s="23"/>
      <c r="CG49" s="23"/>
      <c r="CH49" s="23"/>
      <c r="CI49" s="23"/>
      <c r="CJ49" s="23"/>
    </row>
    <row r="50" spans="1:88" s="22" customFormat="1" ht="18" customHeight="1">
      <c r="A50" s="122"/>
      <c r="C50" s="295"/>
      <c r="D50" s="295"/>
      <c r="E50" s="295"/>
      <c r="F50" s="295"/>
      <c r="G50" s="295"/>
      <c r="H50" s="295"/>
      <c r="I50" s="295"/>
      <c r="K50" s="367">
        <f>IF(' '!$L$9=0,"",IF(VLOOKUP(' '!B6,' '!$C$5:$E$8,3,0)=MAX(K$49:K49),"",' '!B6))</f>
      </c>
      <c r="L50" s="368"/>
      <c r="M50" s="235" t="str">
        <f>IF(' '!$L$9=0,D20,VLOOKUP(' '!B6,' '!$C$5:$O$8,4,0))</f>
        <v>SVM Senioren III</v>
      </c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66">
        <f>IF(AND(M50&amp;$AH$41=VLOOKUP(M50&amp;$AH$41,' '!$D$23:$H$46,1,0),VLOOKUP(M50&amp;$AH$41,' '!$D$23:$H$46,4,0)&lt;&gt;""),VLOOKUP(M50&amp;$AH$41,' '!$D$23:$H$46,4,0),VLOOKUP(M50&amp;$AH$41,' '!$D$23:$H$46,5,0))</f>
      </c>
      <c r="AI50" s="266"/>
      <c r="AJ50" s="272"/>
      <c r="AK50" s="264"/>
      <c r="AL50" s="264"/>
      <c r="AM50" s="264"/>
      <c r="AN50" s="263">
        <f>IF(AND(M50&amp;$AN$41=VLOOKUP(M50&amp;$AN$41,' '!$D$23:$H$46,1,0),VLOOKUP(M50&amp;$AN$41,' '!$D$23:$H$46,4,0)&lt;&gt;""),VLOOKUP(M50&amp;$AN$41,' '!$D$23:$H$46,4,0),VLOOKUP(M50&amp;$AN$41,' '!$D$23:$H$46,5,0))</f>
      </c>
      <c r="AO50" s="263"/>
      <c r="AP50" s="263"/>
      <c r="AQ50" s="265">
        <f>IF(AND(M50&amp;$AQ$41=VLOOKUP(M50&amp;$AQ$41,' '!$D$23:$H$46,1,0),VLOOKUP(M50&amp;$AQ$41,' '!$D$23:$H$46,4,0)&lt;&gt;""),VLOOKUP(M50&amp;$AQ$41,' '!$D$23:$H$46,4,0),VLOOKUP(M50&amp;$AQ$41,' '!$D$23:$H$46,5,0))</f>
      </c>
      <c r="AR50" s="266"/>
      <c r="AS50" s="266"/>
      <c r="AT50" s="266">
        <f>IF(' '!$L$9=0,"",VLOOKUP(' '!B6,' '!$C$5:$O$8,10,0))</f>
      </c>
      <c r="AU50" s="266"/>
      <c r="AV50" s="272"/>
      <c r="AW50" s="263">
        <f>IF(' '!$L$9=0,"",VLOOKUP(' '!B6,' '!$C$5:$O$8,11,0))</f>
      </c>
      <c r="AX50" s="263"/>
      <c r="AY50" s="263"/>
      <c r="AZ50" s="263">
        <f>IF(' '!$L$9=0,"",VLOOKUP(' '!B6,' '!$C$5:$O$8,12,0))</f>
      </c>
      <c r="BA50" s="263"/>
      <c r="BB50" s="263"/>
      <c r="BC50" s="263">
        <f>IF(' '!$L$9=0,"",VLOOKUP(' '!B6,' '!$C$5:$O$8,13,0))</f>
      </c>
      <c r="BD50" s="263"/>
      <c r="BE50" s="263"/>
      <c r="BF50" s="353">
        <f>IF(' '!$L$9=0,"",VLOOKUP(' '!B6,' '!$C$5:$O$8,5,0))</f>
      </c>
      <c r="BG50" s="353"/>
      <c r="BH50" s="124">
        <f>IF(' '!$L$9=0,"",":")</f>
      </c>
      <c r="BI50" s="349">
        <f>IF(' '!$L$9=0,"",VLOOKUP(' '!B6,' '!$C$5:$O$8,6,0))</f>
      </c>
      <c r="BJ50" s="263"/>
      <c r="BK50" s="350">
        <f>IF(' '!$L$9=0,"",BF50-BI50)</f>
      </c>
      <c r="BL50" s="350"/>
      <c r="BM50" s="351"/>
      <c r="BN50" s="263">
        <f>IF(' '!$L$9=0,"",VLOOKUP(' '!B6,' '!$C$5:$O$8,7,0))</f>
      </c>
      <c r="BO50" s="263"/>
      <c r="BP50" s="265"/>
      <c r="BQ50" s="140"/>
      <c r="BR50" s="140"/>
      <c r="BS50" s="140"/>
      <c r="BT50" s="141"/>
      <c r="BU50" s="140"/>
      <c r="BV50" s="140"/>
      <c r="BW50" s="139"/>
      <c r="BX50" s="139"/>
      <c r="BY50" s="139"/>
      <c r="BZ50" s="139"/>
      <c r="CA50" s="139"/>
      <c r="CB50" s="139"/>
      <c r="CC50" s="139"/>
      <c r="CD50" s="23"/>
      <c r="CE50" s="23"/>
      <c r="CF50" s="23"/>
      <c r="CG50" s="23"/>
      <c r="CH50" s="23"/>
      <c r="CI50" s="23"/>
      <c r="CJ50" s="23"/>
    </row>
    <row r="51" spans="1:88" s="22" customFormat="1" ht="18" customHeight="1">
      <c r="A51" s="122"/>
      <c r="B51" s="21"/>
      <c r="C51" s="295"/>
      <c r="D51" s="295"/>
      <c r="E51" s="295"/>
      <c r="F51" s="295"/>
      <c r="G51" s="295"/>
      <c r="H51" s="295"/>
      <c r="I51" s="295"/>
      <c r="K51" s="367">
        <f>IF(' '!$L$9=0,"",IF(VLOOKUP(' '!B7,' '!$C$5:$E$8,3,0)=MAX(K$49:K50),"",' '!B7))</f>
      </c>
      <c r="L51" s="368"/>
      <c r="M51" s="235" t="str">
        <f>IF(' '!$L$9=0,D21,VLOOKUP(' '!B7,' '!$C$5:$O$8,4,0))</f>
        <v>Esch</v>
      </c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66">
        <f>IF(AND(M51&amp;$AH$41=VLOOKUP(M51&amp;$AH$41,' '!$D$23:$H$46,1,0),VLOOKUP(M51&amp;$AH$41,' '!$D$23:$H$46,4,0)&lt;&gt;""),VLOOKUP(M51&amp;$AH$41,' '!$D$23:$H$46,4,0),VLOOKUP(M51&amp;$AH$41,' '!$D$23:$H$46,5,0))</f>
      </c>
      <c r="AI51" s="266"/>
      <c r="AJ51" s="272"/>
      <c r="AK51" s="263">
        <f>IF(AND(M51&amp;$AK$41=VLOOKUP(M51&amp;$AK$41,' '!$D$23:$H$46,1,0),VLOOKUP(M51&amp;$AK$41,' '!$D$23:$H$46,4,0)&lt;&gt;""),VLOOKUP(M51&amp;$AK$41,' '!$D$23:$H$46,4,0),VLOOKUP(M51&amp;$AK$41,' '!$D$23:$H$46,5,0))</f>
      </c>
      <c r="AL51" s="263"/>
      <c r="AM51" s="263"/>
      <c r="AN51" s="264"/>
      <c r="AO51" s="264"/>
      <c r="AP51" s="264"/>
      <c r="AQ51" s="265">
        <f>IF(AND(M51&amp;$AQ$41=VLOOKUP(M51&amp;$AQ$41,' '!$D$23:$H$46,1,0),VLOOKUP(M51&amp;$AQ$41,' '!$D$23:$H$46,4,0)&lt;&gt;""),VLOOKUP(M51&amp;$AQ$41,' '!$D$23:$H$46,4,0),VLOOKUP(M51&amp;$AQ$41,' '!$D$23:$H$46,5,0))</f>
      </c>
      <c r="AR51" s="266"/>
      <c r="AS51" s="266"/>
      <c r="AT51" s="266">
        <f>IF(' '!$L$9=0,"",VLOOKUP(' '!B7,' '!$C$5:$O$8,10,0))</f>
      </c>
      <c r="AU51" s="266"/>
      <c r="AV51" s="272"/>
      <c r="AW51" s="263">
        <f>IF(' '!$L$9=0,"",VLOOKUP(' '!B7,' '!$C$5:$O$8,11,0))</f>
      </c>
      <c r="AX51" s="263"/>
      <c r="AY51" s="263"/>
      <c r="AZ51" s="263">
        <f>IF(' '!$L$9=0,"",VLOOKUP(' '!B7,' '!$C$5:$O$8,12,0))</f>
      </c>
      <c r="BA51" s="263"/>
      <c r="BB51" s="263"/>
      <c r="BC51" s="263">
        <f>IF(' '!$L$9=0,"",VLOOKUP(' '!B7,' '!$C$5:$O$8,13,0))</f>
      </c>
      <c r="BD51" s="263"/>
      <c r="BE51" s="263"/>
      <c r="BF51" s="353">
        <f>IF(' '!$L$9=0,"",VLOOKUP(' '!B7,' '!$C$5:$O$8,5,0))</f>
      </c>
      <c r="BG51" s="353"/>
      <c r="BH51" s="124">
        <f>IF(' '!$L$9=0,"",":")</f>
      </c>
      <c r="BI51" s="349">
        <f>IF(' '!$L$9=0,"",VLOOKUP(' '!B7,' '!$C$5:$O$8,6,0))</f>
      </c>
      <c r="BJ51" s="263"/>
      <c r="BK51" s="350">
        <f>IF(' '!$L$9=0,"",BF51-BI51)</f>
      </c>
      <c r="BL51" s="350"/>
      <c r="BM51" s="351"/>
      <c r="BN51" s="263">
        <f>IF(' '!$L$9=0,"",VLOOKUP(' '!B7,' '!$C$5:$O$8,7,0))</f>
      </c>
      <c r="BO51" s="263"/>
      <c r="BP51" s="265"/>
      <c r="BQ51" s="140"/>
      <c r="BR51" s="140"/>
      <c r="BS51" s="140"/>
      <c r="BT51" s="141"/>
      <c r="BU51" s="140"/>
      <c r="BV51" s="140"/>
      <c r="BW51" s="139"/>
      <c r="BX51" s="139"/>
      <c r="BY51" s="139"/>
      <c r="BZ51" s="139"/>
      <c r="CA51" s="139"/>
      <c r="CB51" s="139"/>
      <c r="CC51" s="139"/>
      <c r="CD51" s="23"/>
      <c r="CE51" s="23"/>
      <c r="CF51" s="23"/>
      <c r="CG51" s="23"/>
      <c r="CH51" s="23"/>
      <c r="CI51" s="23"/>
      <c r="CJ51" s="23"/>
    </row>
    <row r="52" spans="1:88" s="22" customFormat="1" ht="18" customHeight="1" thickBot="1">
      <c r="A52" s="122"/>
      <c r="C52" s="295"/>
      <c r="D52" s="295"/>
      <c r="E52" s="295"/>
      <c r="F52" s="295"/>
      <c r="G52" s="295"/>
      <c r="H52" s="295"/>
      <c r="I52" s="295"/>
      <c r="K52" s="364">
        <f>IF(' '!$L$9=0,"",IF(VLOOKUP(' '!B8,' '!$C$5:$E$8,3,0)=MAX(K$49:K51),"",' '!B8))</f>
      </c>
      <c r="L52" s="365"/>
      <c r="M52" s="233" t="str">
        <f>IF(' '!$L$9=0,D22,VLOOKUP(' '!B8,' '!$C$5:$O$8,4,0))</f>
        <v>B-Jugend</v>
      </c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75">
        <f>IF(AND(M52&amp;$AH$41=VLOOKUP(M52&amp;$AH$41,' '!$D$23:$H$46,1,0),VLOOKUP(M52&amp;$AH$41,' '!$D$23:$H$46,4,0)&lt;&gt;""),VLOOKUP(M52&amp;$AH$41,' '!$D$23:$H$46,4,0),VLOOKUP(M52&amp;$AH$41,' '!$D$23:$H$46,5,0))</f>
      </c>
      <c r="AI52" s="275"/>
      <c r="AJ52" s="276"/>
      <c r="AK52" s="262">
        <f>IF(AND(M52&amp;$AK$41=VLOOKUP(M52&amp;$AK$41,' '!$D$23:$H$46,1,0),VLOOKUP(M52&amp;$AK$41,' '!$D$23:$H$46,4,0)&lt;&gt;""),VLOOKUP(M52&amp;$AK$41,' '!$D$23:$H$46,4,0),VLOOKUP(M52&amp;$AK$41,' '!$D$23:$H$46,5,0))</f>
      </c>
      <c r="AL52" s="262"/>
      <c r="AM52" s="262"/>
      <c r="AN52" s="262">
        <f>IF(AND(M52&amp;$AN$41=VLOOKUP(M52&amp;$AN$41,' '!$D$23:$H$46,1,0),VLOOKUP(M52&amp;$AN$41,' '!$D$23:$H$46,4,0)&lt;&gt;""),VLOOKUP(M52&amp;$AN$41,' '!$D$23:$H$46,4,0),VLOOKUP(M52&amp;$AN$41,' '!$D$23:$H$46,5,0))</f>
      </c>
      <c r="AO52" s="262"/>
      <c r="AP52" s="262"/>
      <c r="AQ52" s="267"/>
      <c r="AR52" s="268"/>
      <c r="AS52" s="268"/>
      <c r="AT52" s="275">
        <f>IF(' '!$L$9=0,"",VLOOKUP(' '!B8,' '!$C$5:$O$8,10,0))</f>
      </c>
      <c r="AU52" s="275"/>
      <c r="AV52" s="276"/>
      <c r="AW52" s="262">
        <f>IF(' '!$L$9=0,"",VLOOKUP(' '!B8,' '!$C$5:$O$8,11,0))</f>
      </c>
      <c r="AX52" s="262"/>
      <c r="AY52" s="262"/>
      <c r="AZ52" s="262">
        <f>IF(' '!$L$9=0,"",VLOOKUP(' '!B8,' '!$C$5:$O$8,12,0))</f>
      </c>
      <c r="BA52" s="262"/>
      <c r="BB52" s="262"/>
      <c r="BC52" s="262">
        <f>IF(' '!$L$9=0,"",VLOOKUP(' '!B8,' '!$C$5:$O$8,13,0))</f>
      </c>
      <c r="BD52" s="262"/>
      <c r="BE52" s="262"/>
      <c r="BF52" s="359">
        <f>IF(' '!$L$9=0,"",VLOOKUP(' '!B8,' '!$C$5:$O$8,5,0))</f>
      </c>
      <c r="BG52" s="359"/>
      <c r="BH52" s="125">
        <f>IF(' '!$L$9=0,"",":")</f>
      </c>
      <c r="BI52" s="360">
        <f>IF(' '!$L$9=0,"",VLOOKUP(' '!B8,' '!$C$5:$O$8,6,0))</f>
      </c>
      <c r="BJ52" s="262"/>
      <c r="BK52" s="379">
        <f>IF(' '!$L$9=0,"",BF52-BI52)</f>
      </c>
      <c r="BL52" s="379"/>
      <c r="BM52" s="380"/>
      <c r="BN52" s="262">
        <f>IF(' '!$L$9=0,"",VLOOKUP(' '!B8,' '!$C$5:$O$8,7,0))</f>
      </c>
      <c r="BO52" s="262"/>
      <c r="BP52" s="377"/>
      <c r="BQ52" s="140"/>
      <c r="BR52" s="140"/>
      <c r="BS52" s="140"/>
      <c r="BT52" s="141"/>
      <c r="BU52" s="140"/>
      <c r="BV52" s="140"/>
      <c r="BW52" s="139"/>
      <c r="BX52" s="139"/>
      <c r="BY52" s="139"/>
      <c r="BZ52" s="139"/>
      <c r="CA52" s="139"/>
      <c r="CB52" s="139"/>
      <c r="CC52" s="139"/>
      <c r="CD52" s="23"/>
      <c r="CE52" s="23"/>
      <c r="CF52" s="23"/>
      <c r="CG52" s="23"/>
      <c r="CH52" s="23"/>
      <c r="CI52" s="23"/>
      <c r="CJ52" s="23"/>
    </row>
    <row r="53" spans="1:88" s="22" customFormat="1" ht="18" customHeight="1" thickBot="1">
      <c r="A53" s="122"/>
      <c r="C53" s="126"/>
      <c r="D53" s="126"/>
      <c r="E53" s="126"/>
      <c r="F53" s="126"/>
      <c r="G53" s="126"/>
      <c r="H53" s="126"/>
      <c r="I53" s="126"/>
      <c r="K53" s="127"/>
      <c r="L53" s="127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30"/>
      <c r="BL53" s="130"/>
      <c r="BM53" s="130"/>
      <c r="BN53" s="129"/>
      <c r="BO53" s="129"/>
      <c r="BP53" s="129"/>
      <c r="BQ53" s="140"/>
      <c r="BR53" s="140"/>
      <c r="BS53" s="140"/>
      <c r="BT53" s="141"/>
      <c r="BU53" s="140"/>
      <c r="BV53" s="140"/>
      <c r="BW53" s="139"/>
      <c r="BX53" s="139"/>
      <c r="BY53" s="139"/>
      <c r="BZ53" s="139"/>
      <c r="CA53" s="139"/>
      <c r="CB53" s="139"/>
      <c r="CC53" s="139"/>
      <c r="CD53" s="23"/>
      <c r="CE53" s="23"/>
      <c r="CF53" s="23"/>
      <c r="CG53" s="23"/>
      <c r="CH53" s="23"/>
      <c r="CI53" s="23"/>
      <c r="CJ53" s="23"/>
    </row>
    <row r="54" spans="1:88" s="22" customFormat="1" ht="18" customHeight="1">
      <c r="A54" s="122"/>
      <c r="C54" s="126"/>
      <c r="D54" s="126"/>
      <c r="E54" s="126"/>
      <c r="F54" s="126"/>
      <c r="G54" s="126"/>
      <c r="H54" s="126"/>
      <c r="I54" s="126"/>
      <c r="K54" s="127"/>
      <c r="L54" s="127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277" t="str">
        <f>M62</f>
        <v>SVM Senioren II</v>
      </c>
      <c r="AI54" s="250"/>
      <c r="AJ54" s="250"/>
      <c r="AK54" s="250" t="str">
        <f>M63</f>
        <v>Eifelboyz</v>
      </c>
      <c r="AL54" s="250"/>
      <c r="AM54" s="250"/>
      <c r="AN54" s="250" t="str">
        <f>M64</f>
        <v>A-Jugend (m)</v>
      </c>
      <c r="AO54" s="250"/>
      <c r="AP54" s="250"/>
      <c r="AQ54" s="250" t="str">
        <f>M65</f>
        <v>A-Jugend (w)</v>
      </c>
      <c r="AR54" s="250"/>
      <c r="AS54" s="251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30"/>
      <c r="BL54" s="130"/>
      <c r="BM54" s="130"/>
      <c r="BN54" s="129"/>
      <c r="BO54" s="129"/>
      <c r="BP54" s="129"/>
      <c r="BQ54" s="140"/>
      <c r="BR54" s="140"/>
      <c r="BS54" s="140"/>
      <c r="BT54" s="141"/>
      <c r="BU54" s="140"/>
      <c r="BV54" s="140"/>
      <c r="BW54" s="139"/>
      <c r="BX54" s="139"/>
      <c r="BY54" s="139"/>
      <c r="BZ54" s="139"/>
      <c r="CA54" s="139"/>
      <c r="CB54" s="139"/>
      <c r="CC54" s="139"/>
      <c r="CD54" s="23"/>
      <c r="CE54" s="23"/>
      <c r="CF54" s="23"/>
      <c r="CG54" s="23"/>
      <c r="CH54" s="23"/>
      <c r="CI54" s="23"/>
      <c r="CJ54" s="23"/>
    </row>
    <row r="55" spans="1:94" s="22" customFormat="1" ht="18" customHeight="1">
      <c r="A55" s="122"/>
      <c r="C55" s="126"/>
      <c r="D55" s="126"/>
      <c r="E55" s="126"/>
      <c r="F55" s="126"/>
      <c r="G55" s="126"/>
      <c r="H55" s="126"/>
      <c r="I55" s="126"/>
      <c r="K55" s="127"/>
      <c r="L55" s="127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278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3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30"/>
      <c r="BM55" s="130"/>
      <c r="BN55" s="129"/>
      <c r="BO55" s="129"/>
      <c r="BP55" s="129"/>
      <c r="BQ55" s="140"/>
      <c r="BR55" s="140"/>
      <c r="BS55" s="140"/>
      <c r="BT55" s="141"/>
      <c r="BU55" s="140"/>
      <c r="BV55" s="140"/>
      <c r="BW55" s="139"/>
      <c r="BX55" s="139"/>
      <c r="BY55" s="139"/>
      <c r="BZ55" s="139"/>
      <c r="CA55" s="139"/>
      <c r="CB55" s="139"/>
      <c r="CC55" s="139"/>
      <c r="CD55" s="23"/>
      <c r="CE55" s="23"/>
      <c r="CF55" s="23"/>
      <c r="CG55" s="23"/>
      <c r="CH55" s="139"/>
      <c r="CI55" s="139"/>
      <c r="CJ55" s="139"/>
      <c r="CK55" s="122"/>
      <c r="CL55" s="122"/>
      <c r="CM55" s="122"/>
      <c r="CN55" s="122"/>
      <c r="CO55" s="122"/>
      <c r="CP55" s="122"/>
    </row>
    <row r="56" spans="2:94" s="22" customFormat="1" ht="18" customHeight="1">
      <c r="B56" s="23"/>
      <c r="C56" s="126"/>
      <c r="D56" s="126"/>
      <c r="E56" s="126"/>
      <c r="F56" s="126"/>
      <c r="G56" s="126"/>
      <c r="H56" s="126"/>
      <c r="I56" s="126"/>
      <c r="K56" s="127"/>
      <c r="L56" s="127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278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3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30"/>
      <c r="BM56" s="130"/>
      <c r="BN56" s="129"/>
      <c r="BO56" s="129"/>
      <c r="BP56" s="129"/>
      <c r="BQ56" s="140"/>
      <c r="BR56" s="140"/>
      <c r="BS56" s="140"/>
      <c r="BT56" s="141"/>
      <c r="BU56" s="140"/>
      <c r="BV56" s="140"/>
      <c r="BW56" s="139"/>
      <c r="BX56" s="139"/>
      <c r="BY56" s="139"/>
      <c r="BZ56" s="139"/>
      <c r="CA56" s="139"/>
      <c r="CB56" s="139"/>
      <c r="CC56" s="139"/>
      <c r="CD56" s="23"/>
      <c r="CE56" s="23"/>
      <c r="CF56" s="23"/>
      <c r="CG56" s="23"/>
      <c r="CH56" s="139"/>
      <c r="CI56" s="139"/>
      <c r="CJ56" s="139"/>
      <c r="CK56" s="122"/>
      <c r="CL56" s="122"/>
      <c r="CM56" s="122"/>
      <c r="CN56" s="122"/>
      <c r="CO56" s="122"/>
      <c r="CP56" s="122"/>
    </row>
    <row r="57" spans="3:88" s="22" customFormat="1" ht="18" customHeight="1">
      <c r="C57" s="126"/>
      <c r="D57" s="126"/>
      <c r="E57" s="126"/>
      <c r="F57" s="126"/>
      <c r="G57" s="126"/>
      <c r="H57" s="126"/>
      <c r="I57" s="126"/>
      <c r="K57" s="127"/>
      <c r="L57" s="127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278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3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30"/>
      <c r="BL57" s="130"/>
      <c r="BM57" s="130"/>
      <c r="BN57" s="129"/>
      <c r="BO57" s="129"/>
      <c r="BP57" s="129"/>
      <c r="BQ57" s="140"/>
      <c r="BR57" s="140"/>
      <c r="BS57" s="140"/>
      <c r="BT57" s="141"/>
      <c r="BU57" s="140"/>
      <c r="BV57" s="140"/>
      <c r="BW57" s="139"/>
      <c r="BX57" s="139"/>
      <c r="BY57" s="139"/>
      <c r="BZ57" s="139"/>
      <c r="CA57" s="139"/>
      <c r="CB57" s="139"/>
      <c r="CC57" s="139"/>
      <c r="CD57" s="23"/>
      <c r="CE57" s="23"/>
      <c r="CF57" s="23"/>
      <c r="CG57" s="23"/>
      <c r="CH57" s="23"/>
      <c r="CI57" s="23"/>
      <c r="CJ57" s="23"/>
    </row>
    <row r="58" spans="3:88" s="22" customFormat="1" ht="18" customHeight="1">
      <c r="C58" s="126"/>
      <c r="D58" s="126"/>
      <c r="E58" s="126"/>
      <c r="F58" s="126"/>
      <c r="G58" s="126"/>
      <c r="H58" s="126"/>
      <c r="I58" s="126"/>
      <c r="K58" s="127"/>
      <c r="L58" s="127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278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3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30"/>
      <c r="BL58" s="130"/>
      <c r="BM58" s="130"/>
      <c r="BN58" s="129"/>
      <c r="BO58" s="129"/>
      <c r="BP58" s="129"/>
      <c r="BQ58" s="140"/>
      <c r="BR58" s="140"/>
      <c r="BS58" s="140"/>
      <c r="BT58" s="141"/>
      <c r="BU58" s="140"/>
      <c r="BV58" s="140"/>
      <c r="BW58" s="139"/>
      <c r="BX58" s="139"/>
      <c r="BY58" s="139"/>
      <c r="BZ58" s="139"/>
      <c r="CA58" s="139"/>
      <c r="CB58" s="139"/>
      <c r="CC58" s="139"/>
      <c r="CD58" s="23"/>
      <c r="CE58" s="23"/>
      <c r="CF58" s="23"/>
      <c r="CG58" s="23"/>
      <c r="CH58" s="23"/>
      <c r="CI58" s="23"/>
      <c r="CJ58" s="23"/>
    </row>
    <row r="59" spans="3:88" s="22" customFormat="1" ht="18" customHeight="1">
      <c r="C59" s="126"/>
      <c r="D59" s="126"/>
      <c r="E59" s="126"/>
      <c r="F59" s="126"/>
      <c r="G59" s="126"/>
      <c r="H59" s="126"/>
      <c r="I59" s="126"/>
      <c r="K59" s="127"/>
      <c r="L59" s="127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278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3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30"/>
      <c r="BL59" s="130"/>
      <c r="BM59" s="130"/>
      <c r="BN59" s="129"/>
      <c r="BO59" s="129"/>
      <c r="BP59" s="129"/>
      <c r="BQ59" s="140"/>
      <c r="BR59" s="140"/>
      <c r="BS59" s="140"/>
      <c r="BT59" s="141"/>
      <c r="BU59" s="140"/>
      <c r="BV59" s="140"/>
      <c r="BW59" s="139"/>
      <c r="BX59" s="139"/>
      <c r="BY59" s="139"/>
      <c r="BZ59" s="139"/>
      <c r="CA59" s="139"/>
      <c r="CB59" s="139"/>
      <c r="CC59" s="139"/>
      <c r="CD59" s="23"/>
      <c r="CE59" s="23"/>
      <c r="CF59" s="23"/>
      <c r="CG59" s="23"/>
      <c r="CH59" s="23"/>
      <c r="CI59" s="23"/>
      <c r="CJ59" s="23"/>
    </row>
    <row r="60" spans="1:88" s="22" customFormat="1" ht="18" customHeight="1" thickBot="1">
      <c r="A60" s="26"/>
      <c r="B60" s="21"/>
      <c r="C60" s="296" t="s">
        <v>16</v>
      </c>
      <c r="D60" s="297"/>
      <c r="E60" s="297"/>
      <c r="F60" s="297"/>
      <c r="G60" s="297"/>
      <c r="H60" s="297"/>
      <c r="I60" s="298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278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3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40"/>
      <c r="BR60" s="140"/>
      <c r="BS60" s="140"/>
      <c r="BT60" s="141"/>
      <c r="BU60" s="140"/>
      <c r="BV60" s="140"/>
      <c r="BW60" s="139"/>
      <c r="BX60" s="139"/>
      <c r="BY60" s="139"/>
      <c r="BZ60" s="139"/>
      <c r="CA60" s="139"/>
      <c r="CB60" s="139"/>
      <c r="CC60" s="139"/>
      <c r="CD60" s="23"/>
      <c r="CE60" s="23"/>
      <c r="CF60" s="23"/>
      <c r="CG60" s="23"/>
      <c r="CH60" s="23"/>
      <c r="CI60" s="23"/>
      <c r="CJ60" s="23"/>
    </row>
    <row r="61" spans="3:88" s="22" customFormat="1" ht="18" customHeight="1" thickBot="1">
      <c r="C61" s="299" t="s">
        <v>17</v>
      </c>
      <c r="D61" s="300"/>
      <c r="E61" s="300"/>
      <c r="F61" s="301"/>
      <c r="G61" s="299" t="s">
        <v>18</v>
      </c>
      <c r="H61" s="300"/>
      <c r="I61" s="301"/>
      <c r="K61" s="392" t="str">
        <f>IF(' '!L18=0,AC18,IF(' '!B18&lt;&gt;' '!L18,"es liegen nicht alle Ergebnisse vor",AC18))</f>
        <v>Gruppe B</v>
      </c>
      <c r="L61" s="393"/>
      <c r="M61" s="393"/>
      <c r="N61" s="393"/>
      <c r="O61" s="393"/>
      <c r="P61" s="393"/>
      <c r="Q61" s="393"/>
      <c r="R61" s="393"/>
      <c r="S61" s="393"/>
      <c r="T61" s="393"/>
      <c r="U61" s="393"/>
      <c r="V61" s="393"/>
      <c r="W61" s="393"/>
      <c r="X61" s="393"/>
      <c r="Y61" s="393"/>
      <c r="Z61" s="393"/>
      <c r="AA61" s="393"/>
      <c r="AB61" s="393"/>
      <c r="AC61" s="393"/>
      <c r="AD61" s="393"/>
      <c r="AE61" s="393"/>
      <c r="AF61" s="393"/>
      <c r="AG61" s="394"/>
      <c r="AH61" s="279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5"/>
      <c r="AT61" s="369" t="s">
        <v>19</v>
      </c>
      <c r="AU61" s="357"/>
      <c r="AV61" s="357"/>
      <c r="AW61" s="357" t="s">
        <v>20</v>
      </c>
      <c r="AX61" s="357"/>
      <c r="AY61" s="357"/>
      <c r="AZ61" s="357" t="s">
        <v>21</v>
      </c>
      <c r="BA61" s="357"/>
      <c r="BB61" s="357"/>
      <c r="BC61" s="357" t="s">
        <v>22</v>
      </c>
      <c r="BD61" s="357"/>
      <c r="BE61" s="357"/>
      <c r="BF61" s="357" t="s">
        <v>23</v>
      </c>
      <c r="BG61" s="357"/>
      <c r="BH61" s="357"/>
      <c r="BI61" s="357"/>
      <c r="BJ61" s="357"/>
      <c r="BK61" s="357" t="s">
        <v>24</v>
      </c>
      <c r="BL61" s="357"/>
      <c r="BM61" s="376"/>
      <c r="BN61" s="357" t="s">
        <v>25</v>
      </c>
      <c r="BO61" s="357"/>
      <c r="BP61" s="378"/>
      <c r="BQ61" s="140"/>
      <c r="BR61" s="140"/>
      <c r="BS61" s="140"/>
      <c r="BT61" s="141"/>
      <c r="BU61" s="140"/>
      <c r="BV61" s="140"/>
      <c r="BW61" s="139"/>
      <c r="BX61" s="139"/>
      <c r="BY61" s="139"/>
      <c r="BZ61" s="139"/>
      <c r="CA61" s="139"/>
      <c r="CB61" s="139"/>
      <c r="CC61" s="139"/>
      <c r="CD61" s="23"/>
      <c r="CE61" s="23"/>
      <c r="CF61" s="23"/>
      <c r="CG61" s="23"/>
      <c r="CH61" s="23"/>
      <c r="CI61" s="23"/>
      <c r="CJ61" s="23"/>
    </row>
    <row r="62" spans="2:88" s="22" customFormat="1" ht="18" customHeight="1">
      <c r="B62" s="27"/>
      <c r="C62" s="295"/>
      <c r="D62" s="295"/>
      <c r="E62" s="295"/>
      <c r="F62" s="295"/>
      <c r="G62" s="295"/>
      <c r="H62" s="295"/>
      <c r="I62" s="295"/>
      <c r="K62" s="239">
        <f>IF(' '!$L$18=0,"",1)</f>
      </c>
      <c r="L62" s="240"/>
      <c r="M62" s="237" t="str">
        <f>IF(' '!$L$18=0,AC19,VLOOKUP(' '!B14,' '!$C$14:$O$17,4,0))</f>
        <v>SVM Senioren II</v>
      </c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73"/>
      <c r="AI62" s="273"/>
      <c r="AJ62" s="274"/>
      <c r="AK62" s="271">
        <f>IF(AND(M62&amp;$AK$54=VLOOKUP(M62&amp;$AK$54,' '!$D$23:$H$46,1,0),VLOOKUP(M62&amp;$AK$54,' '!$D$23:$H$46,4,0)&lt;&gt;""),VLOOKUP(M62&amp;$AK$54,' '!$D$23:$H$46,4,0),VLOOKUP(M62&amp;$AK$54,' '!$D$23:$H$46,5,0))</f>
      </c>
      <c r="AL62" s="271"/>
      <c r="AM62" s="271"/>
      <c r="AN62" s="271">
        <f>IF(AND(M62&amp;$AN$54=VLOOKUP(M62&amp;$AN$54,' '!$D$23:$H$46,1,0),VLOOKUP(M62&amp;$AN$54,' '!$D$23:$H$46,4,0)&lt;&gt;""),VLOOKUP(M62&amp;$AN$54,' '!$D$23:$H$46,4,0),VLOOKUP(M62&amp;$AN$54,' '!$D$23:$H$46,5,0))</f>
      </c>
      <c r="AO62" s="271"/>
      <c r="AP62" s="271"/>
      <c r="AQ62" s="269">
        <f>IF(AND(M62&amp;$AQ$54=VLOOKUP(M62&amp;$AQ$54,' '!$D$23:$H$46,1,0),VLOOKUP(M62&amp;$AQ$54,' '!$D$23:$H$46,4,0)&lt;&gt;""),VLOOKUP(M62&amp;$AQ$54,' '!$D$23:$H$46,4,0),VLOOKUP(M62&amp;$AQ$54,' '!$D$23:$H$46,5,0))</f>
      </c>
      <c r="AR62" s="270"/>
      <c r="AS62" s="270"/>
      <c r="AT62" s="270">
        <f>IF(' '!$L$18=0,"",VLOOKUP(' '!B14,' '!$C$14:$O$17,10,0))</f>
      </c>
      <c r="AU62" s="270"/>
      <c r="AV62" s="366"/>
      <c r="AW62" s="361">
        <f>IF(' '!$L$18=0,"",VLOOKUP(' '!B14,' '!$C$14:$O$17,11,0))</f>
      </c>
      <c r="AX62" s="362"/>
      <c r="AY62" s="363"/>
      <c r="AZ62" s="361">
        <f>IF(' '!$L$18=0,"",VLOOKUP(' '!B14,' '!$C$14:$O$17,12,0))</f>
      </c>
      <c r="BA62" s="362"/>
      <c r="BB62" s="363"/>
      <c r="BC62" s="361">
        <f>IF(' '!$L$18=0,"",VLOOKUP(' '!B14,' '!$C$14:$O$17,13,0))</f>
      </c>
      <c r="BD62" s="362"/>
      <c r="BE62" s="363"/>
      <c r="BF62" s="362">
        <f>IF(' '!$L$18=0,"",VLOOKUP(' '!B14,' '!$C$14:$O$17,5,0))</f>
      </c>
      <c r="BG62" s="362"/>
      <c r="BH62" s="123">
        <f>IF(' '!$L$18=0,"",":")</f>
      </c>
      <c r="BI62" s="363">
        <f>IF(' '!$L$18=0,"",VLOOKUP(' '!B14,' '!$C$14:$O$17,6,0))</f>
      </c>
      <c r="BJ62" s="271"/>
      <c r="BK62" s="374">
        <f>IF(' '!$L$18=0,"",BF62-BI62)</f>
      </c>
      <c r="BL62" s="374"/>
      <c r="BM62" s="375"/>
      <c r="BN62" s="361">
        <f>IF(' '!$L$18=0,"",VLOOKUP(' '!B14,' '!$C$14:$O$17,7,0))</f>
      </c>
      <c r="BO62" s="362"/>
      <c r="BP62" s="370"/>
      <c r="BQ62" s="140"/>
      <c r="BR62" s="140"/>
      <c r="BS62" s="140"/>
      <c r="BT62" s="141"/>
      <c r="BU62" s="140"/>
      <c r="BV62" s="140"/>
      <c r="BW62" s="139"/>
      <c r="BX62" s="139"/>
      <c r="BY62" s="139"/>
      <c r="BZ62" s="139"/>
      <c r="CA62" s="139"/>
      <c r="CB62" s="139"/>
      <c r="CC62" s="139"/>
      <c r="CD62" s="23"/>
      <c r="CE62" s="23"/>
      <c r="CF62" s="23"/>
      <c r="CG62" s="23"/>
      <c r="CH62" s="23"/>
      <c r="CI62" s="23"/>
      <c r="CJ62" s="23"/>
    </row>
    <row r="63" spans="3:94" s="22" customFormat="1" ht="18" customHeight="1">
      <c r="C63" s="295"/>
      <c r="D63" s="295"/>
      <c r="E63" s="295"/>
      <c r="F63" s="295"/>
      <c r="G63" s="295"/>
      <c r="H63" s="295"/>
      <c r="I63" s="295"/>
      <c r="J63" s="21"/>
      <c r="K63" s="367">
        <f>IF(' '!$L$18=0,"",IF(VLOOKUP(' '!B15,' '!$C$14:$E$17,3,0)=MAX(K$62:K62),"",' '!B15))</f>
      </c>
      <c r="L63" s="368"/>
      <c r="M63" s="235" t="str">
        <f>IF(' '!$L$18=0,AC20,VLOOKUP(' '!B15,' '!$C$14:$O$17,4,0))</f>
        <v>Eifelboyz</v>
      </c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66">
        <f>IF(AND(M63&amp;$AH$54=VLOOKUP(M63&amp;$AH$54,' '!$D$23:$H$46,1,0),VLOOKUP(M63&amp;$AH$54,' '!$D$23:$H$46,4,0)&lt;&gt;""),VLOOKUP(M63&amp;$AH$54,' '!$D$23:$H$46,4,0),VLOOKUP(M63&amp;$AH$54,' '!$D$23:$H$46,5,0))</f>
      </c>
      <c r="AI63" s="266"/>
      <c r="AJ63" s="272"/>
      <c r="AK63" s="264"/>
      <c r="AL63" s="264"/>
      <c r="AM63" s="264"/>
      <c r="AN63" s="263">
        <f>IF(AND(M63&amp;$AN$54=VLOOKUP(M63&amp;$AN$54,' '!$D$23:$H$46,1,0),VLOOKUP(M63&amp;$AN$54,' '!$D$23:$H$46,4,0)&lt;&gt;""),VLOOKUP(M63&amp;$AN$54,' '!$D$23:$H$46,4,0),VLOOKUP(M63&amp;$AN$54,' '!$D$23:$H$46,5,0))</f>
      </c>
      <c r="AO63" s="263"/>
      <c r="AP63" s="263"/>
      <c r="AQ63" s="265">
        <f>IF(AND(M63&amp;$AQ$54=VLOOKUP(M63&amp;$AQ$54,' '!$D$23:$H$46,1,0),VLOOKUP(M63&amp;$AQ$54,' '!$D$23:$H$46,4,0)&lt;&gt;""),VLOOKUP(M63&amp;$AQ$54,' '!$D$23:$H$46,4,0),VLOOKUP(M63&amp;$AQ$54,' '!$D$23:$H$46,5,0))</f>
      </c>
      <c r="AR63" s="266"/>
      <c r="AS63" s="266"/>
      <c r="AT63" s="266">
        <f>IF(' '!$L$18=0,"",VLOOKUP(' '!B15,' '!$C$14:$O$17,10,0))</f>
      </c>
      <c r="AU63" s="266"/>
      <c r="AV63" s="272"/>
      <c r="AW63" s="352">
        <f>IF(' '!$L$18=0,"",VLOOKUP(' '!B15,' '!$C$14:$O$17,11,0))</f>
      </c>
      <c r="AX63" s="353"/>
      <c r="AY63" s="349"/>
      <c r="AZ63" s="352">
        <f>IF(' '!$L$18=0,"",VLOOKUP(' '!B15,' '!$C$14:$O$17,12,0))</f>
      </c>
      <c r="BA63" s="353"/>
      <c r="BB63" s="349"/>
      <c r="BC63" s="352">
        <f>IF(' '!$L$18=0,"",VLOOKUP(' '!B15,' '!$C$14:$O$17,13,0))</f>
      </c>
      <c r="BD63" s="353"/>
      <c r="BE63" s="349"/>
      <c r="BF63" s="353">
        <f>IF(' '!$L$18=0,"",VLOOKUP(' '!B15,' '!$C$14:$O$17,5,0))</f>
      </c>
      <c r="BG63" s="353"/>
      <c r="BH63" s="124">
        <f>IF(' '!$L$18=0,"",":")</f>
      </c>
      <c r="BI63" s="349">
        <f>IF(' '!$L$18=0,"",VLOOKUP(' '!B15,' '!$C$14:$O$17,6,0))</f>
      </c>
      <c r="BJ63" s="263"/>
      <c r="BK63" s="350">
        <f>IF(' '!$L$18=0,"",BF63-BI63)</f>
      </c>
      <c r="BL63" s="350"/>
      <c r="BM63" s="351"/>
      <c r="BN63" s="352">
        <f>IF(' '!$L$18=0,"",VLOOKUP(' '!B15,' '!$C$14:$O$17,7,0))</f>
      </c>
      <c r="BO63" s="353"/>
      <c r="BP63" s="382"/>
      <c r="BQ63" s="140"/>
      <c r="BR63" s="140"/>
      <c r="BS63" s="140"/>
      <c r="BT63" s="141"/>
      <c r="BU63" s="140"/>
      <c r="BV63" s="140"/>
      <c r="BW63" s="139"/>
      <c r="BX63" s="139"/>
      <c r="BY63" s="139"/>
      <c r="BZ63" s="139"/>
      <c r="CA63" s="139"/>
      <c r="CB63" s="139"/>
      <c r="CC63" s="139"/>
      <c r="CD63" s="23"/>
      <c r="CE63" s="23"/>
      <c r="CF63" s="23"/>
      <c r="CG63" s="23"/>
      <c r="CH63" s="139"/>
      <c r="CI63" s="139"/>
      <c r="CJ63" s="139"/>
      <c r="CK63" s="122"/>
      <c r="CL63" s="122"/>
      <c r="CM63" s="122"/>
      <c r="CN63" s="122"/>
      <c r="CO63" s="122"/>
      <c r="CP63" s="122"/>
    </row>
    <row r="64" spans="3:94" s="22" customFormat="1" ht="18" customHeight="1">
      <c r="C64" s="295"/>
      <c r="D64" s="295"/>
      <c r="E64" s="295"/>
      <c r="F64" s="295"/>
      <c r="G64" s="295"/>
      <c r="H64" s="295"/>
      <c r="I64" s="295"/>
      <c r="K64" s="367">
        <f>IF(' '!$L$18=0,"",IF(VLOOKUP(' '!B16,' '!$C$14:$E$17,3,0)=MAX(K$62:K63),"",' '!B16))</f>
      </c>
      <c r="L64" s="368"/>
      <c r="M64" s="235" t="str">
        <f>IF(' '!$L$18=0,AC21,VLOOKUP(' '!B16,' '!$C$14:$O$17,4,0))</f>
        <v>A-Jugend (m)</v>
      </c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  <c r="AD64" s="236"/>
      <c r="AE64" s="236"/>
      <c r="AF64" s="236"/>
      <c r="AG64" s="236"/>
      <c r="AH64" s="266">
        <f>IF(AND(M64&amp;$AH$54=VLOOKUP(M64&amp;$AH$54,' '!$D$23:$H$46,1,0),VLOOKUP(M64&amp;$AH$54,' '!$D$23:$H$46,4,0)&lt;&gt;""),VLOOKUP(M64&amp;$AH$54,' '!$D$23:$H$46,4,0),VLOOKUP(M64&amp;$AH$54,' '!$D$23:$H$46,5,0))</f>
      </c>
      <c r="AI64" s="266"/>
      <c r="AJ64" s="272"/>
      <c r="AK64" s="263">
        <f>IF(AND(M64&amp;$AK$54=VLOOKUP(M64&amp;$AK$54,' '!$D$23:$H$46,1,0),VLOOKUP(M64&amp;$AK$54,' '!$D$23:$H$46,4,0)&lt;&gt;""),VLOOKUP(M64&amp;$AK$54,' '!$D$23:$H$46,4,0),VLOOKUP(M64&amp;$AK$54,' '!$D$23:$H$46,5,0))</f>
      </c>
      <c r="AL64" s="263"/>
      <c r="AM64" s="263"/>
      <c r="AN64" s="264"/>
      <c r="AO64" s="264"/>
      <c r="AP64" s="264"/>
      <c r="AQ64" s="265">
        <f>IF(AND(M64&amp;$AQ$54=VLOOKUP(M64&amp;$AQ$54,' '!$D$23:$H$46,1,0),VLOOKUP(M64&amp;$AQ$54,' '!$D$23:$H$46,4,0)&lt;&gt;""),VLOOKUP(M64&amp;$AQ$54,' '!$D$23:$H$46,4,0),VLOOKUP(M64&amp;$AQ$54,' '!$D$23:$H$46,5,0))</f>
      </c>
      <c r="AR64" s="266"/>
      <c r="AS64" s="266"/>
      <c r="AT64" s="266">
        <f>IF(' '!$L$18=0,"",VLOOKUP(' '!B16,' '!$C$14:$O$17,10,0))</f>
      </c>
      <c r="AU64" s="266"/>
      <c r="AV64" s="272"/>
      <c r="AW64" s="352">
        <f>IF(' '!$L$18=0,"",VLOOKUP(' '!B16,' '!$C$14:$O$17,11,0))</f>
      </c>
      <c r="AX64" s="353"/>
      <c r="AY64" s="349"/>
      <c r="AZ64" s="352">
        <f>IF(' '!$L$18=0,"",VLOOKUP(' '!B16,' '!$C$14:$O$17,12,0))</f>
      </c>
      <c r="BA64" s="353"/>
      <c r="BB64" s="349"/>
      <c r="BC64" s="352">
        <f>IF(' '!$L$18=0,"",VLOOKUP(' '!B16,' '!$C$14:$O$17,13,0))</f>
      </c>
      <c r="BD64" s="353"/>
      <c r="BE64" s="349"/>
      <c r="BF64" s="353">
        <f>IF(' '!$L$18=0,"",VLOOKUP(' '!B16,' '!$C$14:$O$17,5,0))</f>
      </c>
      <c r="BG64" s="353"/>
      <c r="BH64" s="124">
        <f>IF(' '!$L$18=0,"",":")</f>
      </c>
      <c r="BI64" s="349">
        <f>IF(' '!$L$18=0,"",VLOOKUP(' '!B16,' '!$C$14:$O$17,6,0))</f>
      </c>
      <c r="BJ64" s="263"/>
      <c r="BK64" s="350">
        <f>IF(' '!$L$18=0,"",BF64-BI64)</f>
      </c>
      <c r="BL64" s="350"/>
      <c r="BM64" s="351"/>
      <c r="BN64" s="352">
        <f>IF(' '!$L$18=0,"",VLOOKUP(' '!B16,' '!$C$14:$O$17,7,0))</f>
      </c>
      <c r="BO64" s="353"/>
      <c r="BP64" s="382"/>
      <c r="BQ64" s="140"/>
      <c r="BR64" s="140"/>
      <c r="BS64" s="140"/>
      <c r="BT64" s="141"/>
      <c r="BU64" s="140"/>
      <c r="BV64" s="140"/>
      <c r="BW64" s="139"/>
      <c r="BX64" s="139"/>
      <c r="BY64" s="139"/>
      <c r="BZ64" s="139"/>
      <c r="CA64" s="139"/>
      <c r="CB64" s="139"/>
      <c r="CC64" s="139"/>
      <c r="CD64" s="23"/>
      <c r="CE64" s="23"/>
      <c r="CF64" s="23"/>
      <c r="CG64" s="23"/>
      <c r="CH64" s="139"/>
      <c r="CI64" s="139"/>
      <c r="CJ64" s="139"/>
      <c r="CK64" s="122"/>
      <c r="CL64" s="122"/>
      <c r="CM64" s="122"/>
      <c r="CN64" s="122"/>
      <c r="CO64" s="122"/>
      <c r="CP64" s="122"/>
    </row>
    <row r="65" spans="3:94" s="22" customFormat="1" ht="18" customHeight="1" thickBot="1">
      <c r="C65" s="295"/>
      <c r="D65" s="295"/>
      <c r="E65" s="295"/>
      <c r="F65" s="295"/>
      <c r="G65" s="295"/>
      <c r="H65" s="295"/>
      <c r="I65" s="295"/>
      <c r="K65" s="364">
        <f>IF(' '!$L$18=0,"",IF(VLOOKUP(' '!B17,' '!$C$14:$E$17,3,0)=MAX(K$62:K64),"",' '!B17))</f>
      </c>
      <c r="L65" s="365"/>
      <c r="M65" s="233" t="str">
        <f>IF(' '!$L$18=0,AC22,VLOOKUP(' '!B17,' '!$C$14:$O$17,4,0))</f>
        <v>A-Jugend (w)</v>
      </c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75">
        <f>IF(AND(M65&amp;$AH$54=VLOOKUP(M65&amp;$AH$54,' '!$D$23:$H$46,1,0),VLOOKUP(M65&amp;$AH$54,' '!$D$23:$H$46,4,0)&lt;&gt;""),VLOOKUP(M65&amp;$AH$54,' '!$D$23:$H$46,4,0),VLOOKUP(M65&amp;$AH$54,' '!$D$23:$H$46,5,0))</f>
      </c>
      <c r="AI65" s="275"/>
      <c r="AJ65" s="276"/>
      <c r="AK65" s="262">
        <f>IF(AND(M65&amp;$AK$54=VLOOKUP(M65&amp;$AK$54,' '!$D$23:$H$46,1,0),VLOOKUP(M65&amp;$AK$54,' '!$D$23:$H$46,4,0)&lt;&gt;""),VLOOKUP(M65&amp;$AK$54,' '!$D$23:$H$46,4,0),VLOOKUP(M65&amp;$AK$54,' '!$D$23:$H$46,5,0))</f>
      </c>
      <c r="AL65" s="262"/>
      <c r="AM65" s="262"/>
      <c r="AN65" s="262">
        <f>IF(AND(M65&amp;$AN$54=VLOOKUP(M65&amp;$AN$54,' '!$D$23:$H$46,1,0),VLOOKUP(M65&amp;$AN$54,' '!$D$23:$H$46,4,0)&lt;&gt;""),VLOOKUP(M65&amp;$AN$54,' '!$D$23:$H$46,4,0),VLOOKUP(M65&amp;$AN$54,' '!$D$23:$H$46,5,0))</f>
      </c>
      <c r="AO65" s="262"/>
      <c r="AP65" s="262"/>
      <c r="AQ65" s="267"/>
      <c r="AR65" s="268"/>
      <c r="AS65" s="268"/>
      <c r="AT65" s="275">
        <f>IF(' '!$L$18=0,"",VLOOKUP(' '!B17,' '!$C$14:$O$17,10,0))</f>
      </c>
      <c r="AU65" s="275"/>
      <c r="AV65" s="276"/>
      <c r="AW65" s="358">
        <f>IF(' '!$L$18=0,"",VLOOKUP(' '!B17,' '!$C$14:$O$17,11,0))</f>
      </c>
      <c r="AX65" s="359"/>
      <c r="AY65" s="360"/>
      <c r="AZ65" s="358">
        <f>IF(' '!$L$18=0,"",VLOOKUP(' '!B17,' '!$C$14:$O$17,12,0))</f>
      </c>
      <c r="BA65" s="359"/>
      <c r="BB65" s="360"/>
      <c r="BC65" s="358">
        <f>IF(' '!$L$18=0,"",VLOOKUP(' '!B17,' '!$C$14:$O$17,13,0))</f>
      </c>
      <c r="BD65" s="359"/>
      <c r="BE65" s="360"/>
      <c r="BF65" s="356">
        <f>IF(' '!$L$18=0,"",VLOOKUP(' '!B17,' '!$C$14:$O$17,5,0))</f>
      </c>
      <c r="BG65" s="356"/>
      <c r="BH65" s="137">
        <f>IF(' '!$L$18=0,"",":")</f>
      </c>
      <c r="BI65" s="354">
        <f>IF(' '!$L$18=0,"",VLOOKUP(' '!B17,' '!$C$14:$O$17,6,0))</f>
      </c>
      <c r="BJ65" s="355"/>
      <c r="BK65" s="347">
        <f>IF(' '!$L$18=0,"",BF65-BI65)</f>
      </c>
      <c r="BL65" s="347"/>
      <c r="BM65" s="348"/>
      <c r="BN65" s="358">
        <f>IF(' '!$L$18=0,"",VLOOKUP(' '!B17,' '!$C$14:$O$17,7,0))</f>
      </c>
      <c r="BO65" s="359"/>
      <c r="BP65" s="381"/>
      <c r="BQ65" s="140"/>
      <c r="BR65" s="140"/>
      <c r="BS65" s="140"/>
      <c r="BT65" s="141"/>
      <c r="BU65" s="140"/>
      <c r="BV65" s="140"/>
      <c r="BW65" s="139"/>
      <c r="BX65" s="139"/>
      <c r="BY65" s="139"/>
      <c r="BZ65" s="139"/>
      <c r="CA65" s="139"/>
      <c r="CB65" s="139"/>
      <c r="CC65" s="139"/>
      <c r="CD65" s="23"/>
      <c r="CE65" s="23"/>
      <c r="CF65" s="23"/>
      <c r="CG65" s="23"/>
      <c r="CH65" s="139"/>
      <c r="CI65" s="139"/>
      <c r="CJ65" s="148"/>
      <c r="CK65" s="122"/>
      <c r="CL65" s="122"/>
      <c r="CM65" s="122"/>
      <c r="CN65" s="122"/>
      <c r="CO65" s="122"/>
      <c r="CP65" s="122"/>
    </row>
    <row r="66" spans="61:94" s="22" customFormat="1" ht="19.5" customHeight="1">
      <c r="BI66" s="24"/>
      <c r="BJ66" s="139"/>
      <c r="BK66" s="139"/>
      <c r="BL66" s="139"/>
      <c r="BM66" s="139"/>
      <c r="BN66" s="139"/>
      <c r="BO66" s="139"/>
      <c r="BP66" s="140"/>
      <c r="BQ66" s="140"/>
      <c r="BR66" s="140"/>
      <c r="BS66" s="140"/>
      <c r="BT66" s="141"/>
      <c r="BU66" s="140"/>
      <c r="BV66" s="140"/>
      <c r="BW66" s="139"/>
      <c r="BX66" s="139"/>
      <c r="BY66" s="139"/>
      <c r="BZ66" s="139"/>
      <c r="CA66" s="139"/>
      <c r="CB66" s="139"/>
      <c r="CC66" s="139"/>
      <c r="CD66" s="23"/>
      <c r="CE66" s="23"/>
      <c r="CF66" s="23"/>
      <c r="CG66" s="23"/>
      <c r="CH66" s="139"/>
      <c r="CI66" s="139"/>
      <c r="CJ66" s="148"/>
      <c r="CK66" s="122"/>
      <c r="CL66" s="122"/>
      <c r="CM66" s="122"/>
      <c r="CN66" s="122"/>
      <c r="CO66" s="122"/>
      <c r="CP66" s="122"/>
    </row>
    <row r="67" ht="12.75"/>
    <row r="68" spans="2:60" ht="13.5">
      <c r="B68" s="22"/>
      <c r="C68" s="31" t="s">
        <v>26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2:60" ht="13.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2:60" ht="13.5">
      <c r="B70" s="328" t="s">
        <v>62</v>
      </c>
      <c r="C70" s="328"/>
      <c r="D70" s="328"/>
      <c r="E70" s="328"/>
      <c r="F70" s="328"/>
      <c r="G70" s="328"/>
      <c r="H70" s="335">
        <f>H38+TEXT(2*$U$11*($X$11/1440)+($AI$11/1440)+($AW$11/1440),"hh:mm")</f>
        <v>0.6569444444444441</v>
      </c>
      <c r="I70" s="335"/>
      <c r="J70" s="335"/>
      <c r="K70" s="335"/>
      <c r="L70" s="21" t="s">
        <v>0</v>
      </c>
      <c r="M70" s="21"/>
      <c r="N70" s="21"/>
      <c r="O70" s="21"/>
      <c r="P70" s="21"/>
      <c r="Q70" s="21"/>
      <c r="R70" s="21"/>
      <c r="S70" s="21"/>
      <c r="T70" s="133" t="s">
        <v>1</v>
      </c>
      <c r="U70" s="343">
        <f>U14</f>
        <v>1</v>
      </c>
      <c r="V70" s="343"/>
      <c r="W70" s="134" t="s">
        <v>2</v>
      </c>
      <c r="X70" s="399">
        <f>X11</f>
        <v>10</v>
      </c>
      <c r="Y70" s="399"/>
      <c r="Z70" s="399"/>
      <c r="AA70" s="399"/>
      <c r="AB70" s="399"/>
      <c r="AC70" s="400">
        <f>AC14</f>
      </c>
      <c r="AD70" s="400"/>
      <c r="AE70" s="400"/>
      <c r="AF70" s="400"/>
      <c r="AG70" s="400"/>
      <c r="AH70" s="400"/>
      <c r="AI70" s="401">
        <f>IF(AI14="","",AI14)</f>
        <v>0</v>
      </c>
      <c r="AJ70" s="401"/>
      <c r="AK70" s="401"/>
      <c r="AL70" s="401"/>
      <c r="AM70" s="401"/>
      <c r="AN70" s="328" t="s">
        <v>3</v>
      </c>
      <c r="AO70" s="328"/>
      <c r="AP70" s="328"/>
      <c r="AQ70" s="328"/>
      <c r="AR70" s="328"/>
      <c r="AS70" s="328"/>
      <c r="AT70" s="328"/>
      <c r="AU70" s="328"/>
      <c r="AV70" s="328"/>
      <c r="AW70" s="336">
        <f>AW14</f>
        <v>3</v>
      </c>
      <c r="AX70" s="336"/>
      <c r="AY70" s="336"/>
      <c r="AZ70" s="336"/>
      <c r="BA70" s="336"/>
      <c r="BB70" s="135"/>
      <c r="BC70" s="135"/>
      <c r="BD70" s="135"/>
      <c r="BE70" s="26"/>
      <c r="BF70" s="26"/>
      <c r="BG70" s="26"/>
      <c r="BH70" s="26"/>
    </row>
    <row r="71" spans="2:60" ht="14.25" thickBo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2:60" ht="14.25" thickBot="1">
      <c r="B72" s="22"/>
      <c r="C72" s="322" t="s">
        <v>9</v>
      </c>
      <c r="D72" s="228"/>
      <c r="E72" s="228" t="s">
        <v>63</v>
      </c>
      <c r="F72" s="228"/>
      <c r="G72" s="228"/>
      <c r="H72" s="228"/>
      <c r="I72" s="229" t="s">
        <v>27</v>
      </c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389"/>
      <c r="AZ72" s="228" t="s">
        <v>12</v>
      </c>
      <c r="BA72" s="228"/>
      <c r="BB72" s="228"/>
      <c r="BC72" s="228"/>
      <c r="BD72" s="229"/>
      <c r="BE72" s="216"/>
      <c r="BF72" s="217"/>
      <c r="BG72" s="217"/>
      <c r="BH72" s="218"/>
    </row>
    <row r="73" spans="2:60" ht="18" customHeight="1">
      <c r="B73" s="22"/>
      <c r="C73" s="316">
        <v>13</v>
      </c>
      <c r="D73" s="317"/>
      <c r="E73" s="390">
        <f>$H$14</f>
        <v>0.6569444444444441</v>
      </c>
      <c r="F73" s="390"/>
      <c r="G73" s="390"/>
      <c r="H73" s="390"/>
      <c r="I73" s="312">
        <f>IF(OR(' '!L9=0,' '!B9&lt;&gt;SUM(AT49:AV52)),"",IF(OR(G49=1,G50=1,G51=1,G52=1),VLOOKUP(SMALL($G$49:$I$52,1),$G$49:$AG$52,7,0),IF(AND(SUM(AT49:AV52)=' '!B9,' '!E9=1),M49,"1. Platz Gruppe A nicht eindeutig")))</f>
      </c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136" t="s">
        <v>14</v>
      </c>
      <c r="AE73" s="287">
        <f>IF(OR(' '!L18=0,' '!B18&lt;&gt;SUM(AT62:AV65)),"",IF(OR(G62=2,G63=2,G64=2,G65=2),VLOOKUP(SMALL($G$62:$I$65,2),$G$62:$AG$65,7,0),IF(AND(SUM(AT62:AV65)=' '!B18,' '!E19=1),M63,"2. Platz Gruppe B nicht eindeutig")))</f>
      </c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7"/>
      <c r="AU73" s="287"/>
      <c r="AV73" s="287"/>
      <c r="AW73" s="287"/>
      <c r="AX73" s="287"/>
      <c r="AY73" s="288"/>
      <c r="AZ73" s="383"/>
      <c r="BA73" s="383"/>
      <c r="BB73" s="304"/>
      <c r="BC73" s="307"/>
      <c r="BD73" s="307"/>
      <c r="BE73" s="213"/>
      <c r="BF73" s="214"/>
      <c r="BG73" s="214"/>
      <c r="BH73" s="215"/>
    </row>
    <row r="74" spans="2:60" ht="14.25" thickBot="1">
      <c r="B74" s="22"/>
      <c r="C74" s="318"/>
      <c r="D74" s="319"/>
      <c r="E74" s="391"/>
      <c r="F74" s="391"/>
      <c r="G74" s="391"/>
      <c r="H74" s="391"/>
      <c r="I74" s="309" t="s">
        <v>28</v>
      </c>
      <c r="J74" s="310"/>
      <c r="K74" s="310"/>
      <c r="L74" s="310"/>
      <c r="M74" s="310"/>
      <c r="N74" s="310"/>
      <c r="O74" s="310"/>
      <c r="P74" s="310"/>
      <c r="Q74" s="310"/>
      <c r="R74" s="310"/>
      <c r="S74" s="310"/>
      <c r="T74" s="310"/>
      <c r="U74" s="310"/>
      <c r="V74" s="310"/>
      <c r="W74" s="310"/>
      <c r="X74" s="310"/>
      <c r="Y74" s="310"/>
      <c r="Z74" s="310"/>
      <c r="AA74" s="310"/>
      <c r="AB74" s="310"/>
      <c r="AC74" s="310"/>
      <c r="AD74" s="138"/>
      <c r="AE74" s="310" t="s">
        <v>29</v>
      </c>
      <c r="AF74" s="310"/>
      <c r="AG74" s="310"/>
      <c r="AH74" s="310"/>
      <c r="AI74" s="310"/>
      <c r="AJ74" s="310"/>
      <c r="AK74" s="310"/>
      <c r="AL74" s="310"/>
      <c r="AM74" s="310"/>
      <c r="AN74" s="310"/>
      <c r="AO74" s="310"/>
      <c r="AP74" s="310"/>
      <c r="AQ74" s="310"/>
      <c r="AR74" s="310"/>
      <c r="AS74" s="310"/>
      <c r="AT74" s="310"/>
      <c r="AU74" s="310"/>
      <c r="AV74" s="310"/>
      <c r="AW74" s="310"/>
      <c r="AX74" s="310"/>
      <c r="AY74" s="311"/>
      <c r="AZ74" s="384"/>
      <c r="BA74" s="384"/>
      <c r="BB74" s="384"/>
      <c r="BC74" s="384"/>
      <c r="BD74" s="385"/>
      <c r="BE74" s="219"/>
      <c r="BF74" s="220"/>
      <c r="BG74" s="220"/>
      <c r="BH74" s="221"/>
    </row>
    <row r="75" spans="2:60" ht="14.25" thickBo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139"/>
      <c r="BF75" s="139"/>
      <c r="BG75" s="22"/>
      <c r="BH75" s="22"/>
    </row>
    <row r="76" spans="2:60" ht="14.25" thickBot="1">
      <c r="B76" s="22"/>
      <c r="C76" s="322" t="s">
        <v>9</v>
      </c>
      <c r="D76" s="228"/>
      <c r="E76" s="228" t="s">
        <v>63</v>
      </c>
      <c r="F76" s="228"/>
      <c r="G76" s="228"/>
      <c r="H76" s="228"/>
      <c r="I76" s="229" t="s">
        <v>30</v>
      </c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389"/>
      <c r="AZ76" s="228" t="s">
        <v>12</v>
      </c>
      <c r="BA76" s="228"/>
      <c r="BB76" s="228"/>
      <c r="BC76" s="228"/>
      <c r="BD76" s="229"/>
      <c r="BE76" s="216"/>
      <c r="BF76" s="217"/>
      <c r="BG76" s="217"/>
      <c r="BH76" s="218"/>
    </row>
    <row r="77" spans="2:60" ht="18" customHeight="1">
      <c r="B77" s="22"/>
      <c r="C77" s="316">
        <v>14</v>
      </c>
      <c r="D77" s="317"/>
      <c r="E77" s="390">
        <f>E73+TEXT($U$14*($X$14/1440)+($AI$14/1440)+($AW$14/1440),"hh:mm")</f>
        <v>0.6659722222222219</v>
      </c>
      <c r="F77" s="390"/>
      <c r="G77" s="390"/>
      <c r="H77" s="390"/>
      <c r="I77" s="312">
        <f>IF(OR(' '!L18=0,' '!B18&lt;&gt;SUM(AT62:AV65)),"",IF(OR(G62=1,G63=1,G64=1,G65=1),VLOOKUP(SMALL($G$62:$I$65,1),$G$62:$AG$65,7,0),IF(AND(SUM(AT62:AV65)=' '!B18,' '!E18=1),M62,"1. Platz Gruppe B nicht eindeutig")))</f>
      </c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136" t="s">
        <v>14</v>
      </c>
      <c r="AE77" s="287">
        <f>IF(OR(' '!L9=0,' '!B9&lt;&gt;SUM(AT49:AV52)),"",IF(OR(G49=2,G50=2,G51=2,G52=2),VLOOKUP(SMALL($G$49:$I$52,2),$G$49:$AG$52,7,0),IF(AND(SUM(AT49:AV52)=' '!B9,' '!E10=1),M50,"2. Platz Gruppe A nicht eindeutig")))</f>
      </c>
      <c r="AF77" s="287"/>
      <c r="AG77" s="287"/>
      <c r="AH77" s="287"/>
      <c r="AI77" s="287"/>
      <c r="AJ77" s="287"/>
      <c r="AK77" s="287"/>
      <c r="AL77" s="287"/>
      <c r="AM77" s="287"/>
      <c r="AN77" s="287"/>
      <c r="AO77" s="287"/>
      <c r="AP77" s="287"/>
      <c r="AQ77" s="287"/>
      <c r="AR77" s="287"/>
      <c r="AS77" s="287"/>
      <c r="AT77" s="287"/>
      <c r="AU77" s="287"/>
      <c r="AV77" s="287"/>
      <c r="AW77" s="287"/>
      <c r="AX77" s="287"/>
      <c r="AY77" s="288"/>
      <c r="AZ77" s="383"/>
      <c r="BA77" s="383"/>
      <c r="BB77" s="304"/>
      <c r="BC77" s="307"/>
      <c r="BD77" s="307"/>
      <c r="BE77" s="213"/>
      <c r="BF77" s="214"/>
      <c r="BG77" s="214"/>
      <c r="BH77" s="215"/>
    </row>
    <row r="78" spans="2:60" ht="14.25" thickBot="1">
      <c r="B78" s="22"/>
      <c r="C78" s="318"/>
      <c r="D78" s="319"/>
      <c r="E78" s="391"/>
      <c r="F78" s="391"/>
      <c r="G78" s="391"/>
      <c r="H78" s="391"/>
      <c r="I78" s="309" t="s">
        <v>31</v>
      </c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0"/>
      <c r="W78" s="310"/>
      <c r="X78" s="310"/>
      <c r="Y78" s="310"/>
      <c r="Z78" s="310"/>
      <c r="AA78" s="310"/>
      <c r="AB78" s="310"/>
      <c r="AC78" s="310"/>
      <c r="AD78" s="138"/>
      <c r="AE78" s="310" t="s">
        <v>32</v>
      </c>
      <c r="AF78" s="310"/>
      <c r="AG78" s="310"/>
      <c r="AH78" s="310"/>
      <c r="AI78" s="310"/>
      <c r="AJ78" s="310"/>
      <c r="AK78" s="310"/>
      <c r="AL78" s="310"/>
      <c r="AM78" s="310"/>
      <c r="AN78" s="310"/>
      <c r="AO78" s="310"/>
      <c r="AP78" s="310"/>
      <c r="AQ78" s="310"/>
      <c r="AR78" s="310"/>
      <c r="AS78" s="310"/>
      <c r="AT78" s="310"/>
      <c r="AU78" s="310"/>
      <c r="AV78" s="310"/>
      <c r="AW78" s="310"/>
      <c r="AX78" s="310"/>
      <c r="AY78" s="311"/>
      <c r="AZ78" s="384"/>
      <c r="BA78" s="384"/>
      <c r="BB78" s="384"/>
      <c r="BC78" s="384"/>
      <c r="BD78" s="385"/>
      <c r="BE78" s="219"/>
      <c r="BF78" s="220"/>
      <c r="BG78" s="220"/>
      <c r="BH78" s="221"/>
    </row>
    <row r="79" spans="2:60" ht="14.25" thickBot="1">
      <c r="B79" s="22"/>
      <c r="C79" s="126"/>
      <c r="D79" s="126"/>
      <c r="E79" s="143"/>
      <c r="F79" s="143"/>
      <c r="G79" s="143"/>
      <c r="H79" s="143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22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44"/>
      <c r="BA79" s="144"/>
      <c r="BB79" s="144"/>
      <c r="BC79" s="144"/>
      <c r="BD79" s="144"/>
      <c r="BE79" s="145"/>
      <c r="BF79" s="145"/>
      <c r="BG79" s="22"/>
      <c r="BH79" s="22"/>
    </row>
    <row r="80" spans="2:60" ht="14.25" thickBot="1">
      <c r="B80" s="22"/>
      <c r="C80" s="323" t="s">
        <v>9</v>
      </c>
      <c r="D80" s="324"/>
      <c r="E80" s="324" t="s">
        <v>63</v>
      </c>
      <c r="F80" s="324"/>
      <c r="G80" s="324"/>
      <c r="H80" s="324"/>
      <c r="I80" s="386" t="s">
        <v>33</v>
      </c>
      <c r="J80" s="387"/>
      <c r="K80" s="387"/>
      <c r="L80" s="387"/>
      <c r="M80" s="387"/>
      <c r="N80" s="387"/>
      <c r="O80" s="387"/>
      <c r="P80" s="387"/>
      <c r="Q80" s="387"/>
      <c r="R80" s="387"/>
      <c r="S80" s="387"/>
      <c r="T80" s="387"/>
      <c r="U80" s="387"/>
      <c r="V80" s="387"/>
      <c r="W80" s="387"/>
      <c r="X80" s="387"/>
      <c r="Y80" s="387"/>
      <c r="Z80" s="387"/>
      <c r="AA80" s="387"/>
      <c r="AB80" s="387"/>
      <c r="AC80" s="387"/>
      <c r="AD80" s="387"/>
      <c r="AE80" s="387"/>
      <c r="AF80" s="387"/>
      <c r="AG80" s="387"/>
      <c r="AH80" s="387"/>
      <c r="AI80" s="387"/>
      <c r="AJ80" s="387"/>
      <c r="AK80" s="387"/>
      <c r="AL80" s="387"/>
      <c r="AM80" s="387"/>
      <c r="AN80" s="387"/>
      <c r="AO80" s="387"/>
      <c r="AP80" s="387"/>
      <c r="AQ80" s="387"/>
      <c r="AR80" s="387"/>
      <c r="AS80" s="387"/>
      <c r="AT80" s="387"/>
      <c r="AU80" s="387"/>
      <c r="AV80" s="387"/>
      <c r="AW80" s="387"/>
      <c r="AX80" s="387"/>
      <c r="AY80" s="388"/>
      <c r="AZ80" s="324" t="s">
        <v>12</v>
      </c>
      <c r="BA80" s="324"/>
      <c r="BB80" s="324"/>
      <c r="BC80" s="324"/>
      <c r="BD80" s="386"/>
      <c r="BE80" s="395"/>
      <c r="BF80" s="387"/>
      <c r="BG80" s="387"/>
      <c r="BH80" s="396"/>
    </row>
    <row r="81" spans="2:60" ht="18" customHeight="1">
      <c r="B81" s="22"/>
      <c r="C81" s="316">
        <v>15</v>
      </c>
      <c r="D81" s="317"/>
      <c r="E81" s="390">
        <f>E77+TEXT($U$14*($X$14/1440)+($AI$14/1440)+($AW$14/1440),"hh:mm")</f>
        <v>0.6749999999999996</v>
      </c>
      <c r="F81" s="390"/>
      <c r="G81" s="390"/>
      <c r="H81" s="390"/>
      <c r="I81" s="312">
        <f>IF(OR(' '!L9=0,' '!B9&lt;&gt;SUM(AT49:AV52)),"",IF(OR(G49=4,G50=4,G51=4,G52=4),VLOOKUP(SMALL($G$49:$I$52,4),$G$49:$AG$52,7,0),IF(AND(SUM(AT49:AV52)=' '!B9,' '!E12=1),M52,"4. Platz Gruppe A nicht eindeutig")))</f>
      </c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  <c r="Y81" s="287"/>
      <c r="Z81" s="287"/>
      <c r="AA81" s="287"/>
      <c r="AB81" s="287"/>
      <c r="AC81" s="287"/>
      <c r="AD81" s="136" t="s">
        <v>14</v>
      </c>
      <c r="AE81" s="287">
        <f>IF(OR(' '!L18=0,' '!B18&lt;&gt;SUM(AT62:AV65)),"",IF(OR(G62=4,G63=4,G64=4,G65=4),VLOOKUP(SMALL($G$62:$I$65,4),$G$62:$AG$65,7,0),IF(AND(SUM(AT62:AV65)=' '!B18,' '!E21=1),M65,"4. Platz Gruppe B nicht eindeutig")))</f>
      </c>
      <c r="AF81" s="287"/>
      <c r="AG81" s="287"/>
      <c r="AH81" s="287"/>
      <c r="AI81" s="287"/>
      <c r="AJ81" s="287"/>
      <c r="AK81" s="287"/>
      <c r="AL81" s="287"/>
      <c r="AM81" s="287"/>
      <c r="AN81" s="287"/>
      <c r="AO81" s="287"/>
      <c r="AP81" s="287"/>
      <c r="AQ81" s="287"/>
      <c r="AR81" s="287"/>
      <c r="AS81" s="287"/>
      <c r="AT81" s="287"/>
      <c r="AU81" s="287"/>
      <c r="AV81" s="287"/>
      <c r="AW81" s="287"/>
      <c r="AX81" s="287"/>
      <c r="AY81" s="288"/>
      <c r="AZ81" s="383"/>
      <c r="BA81" s="383"/>
      <c r="BB81" s="304"/>
      <c r="BC81" s="307"/>
      <c r="BD81" s="307"/>
      <c r="BE81" s="213"/>
      <c r="BF81" s="214"/>
      <c r="BG81" s="214"/>
      <c r="BH81" s="215"/>
    </row>
    <row r="82" spans="2:60" ht="14.25" thickBot="1">
      <c r="B82" s="22"/>
      <c r="C82" s="318"/>
      <c r="D82" s="319"/>
      <c r="E82" s="391"/>
      <c r="F82" s="391"/>
      <c r="G82" s="391"/>
      <c r="H82" s="391"/>
      <c r="I82" s="309" t="s">
        <v>34</v>
      </c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310"/>
      <c r="V82" s="310"/>
      <c r="W82" s="310"/>
      <c r="X82" s="310"/>
      <c r="Y82" s="310"/>
      <c r="Z82" s="310"/>
      <c r="AA82" s="310"/>
      <c r="AB82" s="310"/>
      <c r="AC82" s="310"/>
      <c r="AD82" s="138"/>
      <c r="AE82" s="310" t="s">
        <v>35</v>
      </c>
      <c r="AF82" s="310"/>
      <c r="AG82" s="310"/>
      <c r="AH82" s="310"/>
      <c r="AI82" s="310"/>
      <c r="AJ82" s="310"/>
      <c r="AK82" s="310"/>
      <c r="AL82" s="310"/>
      <c r="AM82" s="310"/>
      <c r="AN82" s="310"/>
      <c r="AO82" s="310"/>
      <c r="AP82" s="310"/>
      <c r="AQ82" s="310"/>
      <c r="AR82" s="310"/>
      <c r="AS82" s="310"/>
      <c r="AT82" s="310"/>
      <c r="AU82" s="310"/>
      <c r="AV82" s="310"/>
      <c r="AW82" s="310"/>
      <c r="AX82" s="310"/>
      <c r="AY82" s="311"/>
      <c r="AZ82" s="384"/>
      <c r="BA82" s="384"/>
      <c r="BB82" s="384"/>
      <c r="BC82" s="384"/>
      <c r="BD82" s="385"/>
      <c r="BE82" s="219"/>
      <c r="BF82" s="220"/>
      <c r="BG82" s="220"/>
      <c r="BH82" s="221"/>
    </row>
    <row r="83" spans="2:60" ht="14.25" thickBo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139"/>
      <c r="BF83" s="139"/>
      <c r="BG83" s="22"/>
      <c r="BH83" s="22"/>
    </row>
    <row r="84" spans="2:60" ht="14.25" thickBot="1">
      <c r="B84" s="22"/>
      <c r="C84" s="323" t="s">
        <v>9</v>
      </c>
      <c r="D84" s="324"/>
      <c r="E84" s="324" t="s">
        <v>63</v>
      </c>
      <c r="F84" s="324"/>
      <c r="G84" s="324"/>
      <c r="H84" s="324"/>
      <c r="I84" s="386" t="s">
        <v>36</v>
      </c>
      <c r="J84" s="387"/>
      <c r="K84" s="387"/>
      <c r="L84" s="387"/>
      <c r="M84" s="387"/>
      <c r="N84" s="387"/>
      <c r="O84" s="387"/>
      <c r="P84" s="387"/>
      <c r="Q84" s="387"/>
      <c r="R84" s="387"/>
      <c r="S84" s="387"/>
      <c r="T84" s="387"/>
      <c r="U84" s="387"/>
      <c r="V84" s="387"/>
      <c r="W84" s="387"/>
      <c r="X84" s="387"/>
      <c r="Y84" s="387"/>
      <c r="Z84" s="387"/>
      <c r="AA84" s="387"/>
      <c r="AB84" s="387"/>
      <c r="AC84" s="387"/>
      <c r="AD84" s="387"/>
      <c r="AE84" s="387"/>
      <c r="AF84" s="387"/>
      <c r="AG84" s="387"/>
      <c r="AH84" s="387"/>
      <c r="AI84" s="387"/>
      <c r="AJ84" s="387"/>
      <c r="AK84" s="387"/>
      <c r="AL84" s="387"/>
      <c r="AM84" s="387"/>
      <c r="AN84" s="387"/>
      <c r="AO84" s="387"/>
      <c r="AP84" s="387"/>
      <c r="AQ84" s="387"/>
      <c r="AR84" s="387"/>
      <c r="AS84" s="387"/>
      <c r="AT84" s="387"/>
      <c r="AU84" s="387"/>
      <c r="AV84" s="387"/>
      <c r="AW84" s="387"/>
      <c r="AX84" s="387"/>
      <c r="AY84" s="388"/>
      <c r="AZ84" s="324" t="s">
        <v>12</v>
      </c>
      <c r="BA84" s="324"/>
      <c r="BB84" s="324"/>
      <c r="BC84" s="324"/>
      <c r="BD84" s="386"/>
      <c r="BE84" s="395"/>
      <c r="BF84" s="387"/>
      <c r="BG84" s="387"/>
      <c r="BH84" s="396"/>
    </row>
    <row r="85" spans="2:86" s="36" customFormat="1" ht="18" customHeight="1">
      <c r="B85" s="22"/>
      <c r="C85" s="316">
        <v>16</v>
      </c>
      <c r="D85" s="317"/>
      <c r="E85" s="390">
        <f>E81+TEXT($U$14*($X$14/1440)+($AI$14/1440)+($AW$14/1440),"hh:mm")</f>
        <v>0.6840277777777773</v>
      </c>
      <c r="F85" s="390"/>
      <c r="G85" s="390"/>
      <c r="H85" s="390"/>
      <c r="I85" s="312">
        <f>IF(OR(' '!L9=0,' '!B9&lt;&gt;SUM(AT49:AV52)),"",IF(OR(G49=3,G50=3,G51=3,G52=3),VLOOKUP(SMALL($G$49:$I$52,3),$G$49:$AG$52,7,0),IF(AND(SUM(AT49:AV52)=' '!B9,' '!E11=1),M51,"3. Platz Gruppe A nicht eindeutig")))</f>
      </c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136" t="s">
        <v>14</v>
      </c>
      <c r="AE85" s="287">
        <f>IF(OR(' '!L18=0,' '!B18&lt;&gt;SUM(AT62:AV65)),"",IF(OR(G62=3,G63=3,G64=3,G65=3),VLOOKUP(SMALL($G$62:$I$65,3),$G$62:$AG$65,7,0),IF(AND(SUM(AT62:AV65)=' '!B18,' '!E20=1),M64,"3. Platz Gruppe B nicht eindeutig")))</f>
      </c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P85" s="287"/>
      <c r="AQ85" s="287"/>
      <c r="AR85" s="287"/>
      <c r="AS85" s="287"/>
      <c r="AT85" s="287"/>
      <c r="AU85" s="287"/>
      <c r="AV85" s="287"/>
      <c r="AW85" s="287"/>
      <c r="AX85" s="287"/>
      <c r="AY85" s="288"/>
      <c r="AZ85" s="383"/>
      <c r="BA85" s="383"/>
      <c r="BB85" s="304"/>
      <c r="BC85" s="307"/>
      <c r="BD85" s="307"/>
      <c r="BE85" s="213"/>
      <c r="BF85" s="214"/>
      <c r="BG85" s="214"/>
      <c r="BH85" s="215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2:91" ht="14.25" thickBot="1">
      <c r="B86" s="22"/>
      <c r="C86" s="318"/>
      <c r="D86" s="319"/>
      <c r="E86" s="391"/>
      <c r="F86" s="391"/>
      <c r="G86" s="391"/>
      <c r="H86" s="391"/>
      <c r="I86" s="309" t="s">
        <v>37</v>
      </c>
      <c r="J86" s="310"/>
      <c r="K86" s="310"/>
      <c r="L86" s="310"/>
      <c r="M86" s="310"/>
      <c r="N86" s="310"/>
      <c r="O86" s="310"/>
      <c r="P86" s="310"/>
      <c r="Q86" s="310"/>
      <c r="R86" s="310"/>
      <c r="S86" s="310"/>
      <c r="T86" s="310"/>
      <c r="U86" s="310"/>
      <c r="V86" s="310"/>
      <c r="W86" s="310"/>
      <c r="X86" s="310"/>
      <c r="Y86" s="310"/>
      <c r="Z86" s="310"/>
      <c r="AA86" s="310"/>
      <c r="AB86" s="310"/>
      <c r="AC86" s="310"/>
      <c r="AD86" s="138"/>
      <c r="AE86" s="310" t="s">
        <v>38</v>
      </c>
      <c r="AF86" s="310"/>
      <c r="AG86" s="310"/>
      <c r="AH86" s="310"/>
      <c r="AI86" s="310"/>
      <c r="AJ86" s="310"/>
      <c r="AK86" s="310"/>
      <c r="AL86" s="310"/>
      <c r="AM86" s="310"/>
      <c r="AN86" s="310"/>
      <c r="AO86" s="310"/>
      <c r="AP86" s="310"/>
      <c r="AQ86" s="310"/>
      <c r="AR86" s="310"/>
      <c r="AS86" s="310"/>
      <c r="AT86" s="310"/>
      <c r="AU86" s="310"/>
      <c r="AV86" s="310"/>
      <c r="AW86" s="310"/>
      <c r="AX86" s="310"/>
      <c r="AY86" s="311"/>
      <c r="AZ86" s="384"/>
      <c r="BA86" s="384"/>
      <c r="BB86" s="384"/>
      <c r="BC86" s="384"/>
      <c r="BD86" s="385"/>
      <c r="BE86" s="219"/>
      <c r="BF86" s="220"/>
      <c r="BG86" s="220"/>
      <c r="BH86" s="221"/>
      <c r="BO86" s="1"/>
      <c r="BT86" s="2"/>
      <c r="BU86" s="3"/>
      <c r="BX86" s="4"/>
      <c r="BY86" s="3"/>
      <c r="CD86" s="4"/>
      <c r="CI86" s="2"/>
      <c r="CM86" s="5"/>
    </row>
    <row r="87" spans="2:91" ht="14.25" thickBot="1">
      <c r="B87" s="22"/>
      <c r="C87" s="126"/>
      <c r="D87" s="126"/>
      <c r="E87" s="143"/>
      <c r="F87" s="143"/>
      <c r="G87" s="143"/>
      <c r="H87" s="143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22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44"/>
      <c r="BA87" s="144"/>
      <c r="BB87" s="144"/>
      <c r="BC87" s="144"/>
      <c r="BD87" s="144"/>
      <c r="BE87" s="145"/>
      <c r="BF87" s="145"/>
      <c r="BG87" s="22"/>
      <c r="BH87" s="22"/>
      <c r="BO87" s="1"/>
      <c r="BT87" s="2"/>
      <c r="BU87" s="3"/>
      <c r="BX87" s="4"/>
      <c r="BY87" s="3"/>
      <c r="CD87" s="4"/>
      <c r="CI87" s="2"/>
      <c r="CM87" s="5"/>
    </row>
    <row r="88" spans="2:91" ht="14.25" thickBot="1">
      <c r="B88" s="22"/>
      <c r="C88" s="320" t="s">
        <v>9</v>
      </c>
      <c r="D88" s="321"/>
      <c r="E88" s="321" t="s">
        <v>63</v>
      </c>
      <c r="F88" s="321"/>
      <c r="G88" s="321"/>
      <c r="H88" s="321"/>
      <c r="I88" s="313" t="s">
        <v>39</v>
      </c>
      <c r="J88" s="314"/>
      <c r="K88" s="314"/>
      <c r="L88" s="314"/>
      <c r="M88" s="314"/>
      <c r="N88" s="314"/>
      <c r="O88" s="314"/>
      <c r="P88" s="314"/>
      <c r="Q88" s="314"/>
      <c r="R88" s="314"/>
      <c r="S88" s="314"/>
      <c r="T88" s="314"/>
      <c r="U88" s="314"/>
      <c r="V88" s="314"/>
      <c r="W88" s="314"/>
      <c r="X88" s="314"/>
      <c r="Y88" s="314"/>
      <c r="Z88" s="314"/>
      <c r="AA88" s="314"/>
      <c r="AB88" s="314"/>
      <c r="AC88" s="314"/>
      <c r="AD88" s="314"/>
      <c r="AE88" s="314"/>
      <c r="AF88" s="314"/>
      <c r="AG88" s="314"/>
      <c r="AH88" s="314"/>
      <c r="AI88" s="314"/>
      <c r="AJ88" s="314"/>
      <c r="AK88" s="314"/>
      <c r="AL88" s="314"/>
      <c r="AM88" s="314"/>
      <c r="AN88" s="314"/>
      <c r="AO88" s="314"/>
      <c r="AP88" s="314"/>
      <c r="AQ88" s="314"/>
      <c r="AR88" s="314"/>
      <c r="AS88" s="314"/>
      <c r="AT88" s="314"/>
      <c r="AU88" s="314"/>
      <c r="AV88" s="314"/>
      <c r="AW88" s="314"/>
      <c r="AX88" s="314"/>
      <c r="AY88" s="315"/>
      <c r="AZ88" s="321" t="s">
        <v>12</v>
      </c>
      <c r="BA88" s="321"/>
      <c r="BB88" s="321"/>
      <c r="BC88" s="321"/>
      <c r="BD88" s="313"/>
      <c r="BE88" s="397"/>
      <c r="BF88" s="314"/>
      <c r="BG88" s="314"/>
      <c r="BH88" s="398"/>
      <c r="BO88" s="1"/>
      <c r="BT88" s="2"/>
      <c r="BU88" s="3"/>
      <c r="BX88" s="4"/>
      <c r="BY88" s="3"/>
      <c r="CD88" s="4"/>
      <c r="CI88" s="2"/>
      <c r="CM88" s="5"/>
    </row>
    <row r="89" spans="2:91" ht="18" customHeight="1">
      <c r="B89" s="22"/>
      <c r="C89" s="316">
        <v>17</v>
      </c>
      <c r="D89" s="317"/>
      <c r="E89" s="390">
        <f>E85+TEXT($U$14*($X$14/1440)+($AI$14/1440)+($AW$14/1440),"hh:mm")</f>
        <v>0.6930555555555551</v>
      </c>
      <c r="F89" s="390"/>
      <c r="G89" s="390"/>
      <c r="H89" s="390"/>
      <c r="I89" s="312" t="str">
        <f>IF(ISBLANK(AZ73)," ",IF(AZ73&lt;BC73,I73,IF(AZ73&lt;BC73,AE73,AE73)))</f>
        <v> </v>
      </c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  <c r="AA89" s="287"/>
      <c r="AB89" s="287"/>
      <c r="AC89" s="287"/>
      <c r="AD89" s="136" t="s">
        <v>14</v>
      </c>
      <c r="AE89" s="287" t="str">
        <f>IF(ISBLANK(AZ77)," ",IF(AZ77&lt;BC77,I77,IF(AZ77&lt;BC77,AE77,AE77)))</f>
        <v> </v>
      </c>
      <c r="AF89" s="287"/>
      <c r="AG89" s="287"/>
      <c r="AH89" s="287"/>
      <c r="AI89" s="287"/>
      <c r="AJ89" s="287"/>
      <c r="AK89" s="287"/>
      <c r="AL89" s="287"/>
      <c r="AM89" s="287"/>
      <c r="AN89" s="287"/>
      <c r="AO89" s="287"/>
      <c r="AP89" s="287"/>
      <c r="AQ89" s="287"/>
      <c r="AR89" s="287"/>
      <c r="AS89" s="287"/>
      <c r="AT89" s="287"/>
      <c r="AU89" s="287"/>
      <c r="AV89" s="287"/>
      <c r="AW89" s="287"/>
      <c r="AX89" s="287"/>
      <c r="AY89" s="288"/>
      <c r="AZ89" s="383"/>
      <c r="BA89" s="383"/>
      <c r="BB89" s="304"/>
      <c r="BC89" s="307"/>
      <c r="BD89" s="307"/>
      <c r="BE89" s="213"/>
      <c r="BF89" s="214"/>
      <c r="BG89" s="214"/>
      <c r="BH89" s="215"/>
      <c r="BO89" s="1"/>
      <c r="BT89" s="2"/>
      <c r="BU89" s="3"/>
      <c r="BX89" s="4"/>
      <c r="BY89" s="3"/>
      <c r="CD89" s="4"/>
      <c r="CI89" s="2"/>
      <c r="CM89" s="5"/>
    </row>
    <row r="90" spans="2:91" ht="14.25" thickBot="1">
      <c r="B90" s="22"/>
      <c r="C90" s="318"/>
      <c r="D90" s="319"/>
      <c r="E90" s="391"/>
      <c r="F90" s="391"/>
      <c r="G90" s="391"/>
      <c r="H90" s="391"/>
      <c r="I90" s="309" t="s">
        <v>40</v>
      </c>
      <c r="J90" s="310"/>
      <c r="K90" s="310"/>
      <c r="L90" s="310"/>
      <c r="M90" s="310"/>
      <c r="N90" s="310"/>
      <c r="O90" s="310"/>
      <c r="P90" s="310"/>
      <c r="Q90" s="310"/>
      <c r="R90" s="310"/>
      <c r="S90" s="310"/>
      <c r="T90" s="310"/>
      <c r="U90" s="310"/>
      <c r="V90" s="310"/>
      <c r="W90" s="310"/>
      <c r="X90" s="310"/>
      <c r="Y90" s="310"/>
      <c r="Z90" s="310"/>
      <c r="AA90" s="310"/>
      <c r="AB90" s="310"/>
      <c r="AC90" s="310"/>
      <c r="AD90" s="138"/>
      <c r="AE90" s="310" t="s">
        <v>41</v>
      </c>
      <c r="AF90" s="310"/>
      <c r="AG90" s="310"/>
      <c r="AH90" s="310"/>
      <c r="AI90" s="310"/>
      <c r="AJ90" s="310"/>
      <c r="AK90" s="310"/>
      <c r="AL90" s="310"/>
      <c r="AM90" s="310"/>
      <c r="AN90" s="310"/>
      <c r="AO90" s="310"/>
      <c r="AP90" s="310"/>
      <c r="AQ90" s="310"/>
      <c r="AR90" s="310"/>
      <c r="AS90" s="310"/>
      <c r="AT90" s="310"/>
      <c r="AU90" s="310"/>
      <c r="AV90" s="310"/>
      <c r="AW90" s="310"/>
      <c r="AX90" s="310"/>
      <c r="AY90" s="311"/>
      <c r="AZ90" s="384"/>
      <c r="BA90" s="384"/>
      <c r="BB90" s="384"/>
      <c r="BC90" s="384"/>
      <c r="BD90" s="385"/>
      <c r="BE90" s="219"/>
      <c r="BF90" s="220"/>
      <c r="BG90" s="220"/>
      <c r="BH90" s="221"/>
      <c r="BO90" s="1"/>
      <c r="BT90" s="2"/>
      <c r="BU90" s="3"/>
      <c r="BX90" s="4"/>
      <c r="BY90" s="3"/>
      <c r="CD90" s="4"/>
      <c r="CI90" s="2"/>
      <c r="CM90" s="5"/>
    </row>
    <row r="91" spans="2:91" ht="14.25" thickBot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139"/>
      <c r="BF91" s="139"/>
      <c r="BG91" s="22"/>
      <c r="BH91" s="22"/>
      <c r="BO91" s="1"/>
      <c r="BT91" s="2"/>
      <c r="BU91" s="3"/>
      <c r="BX91" s="4"/>
      <c r="BY91" s="3"/>
      <c r="CD91" s="4"/>
      <c r="CI91" s="2"/>
      <c r="CM91" s="5"/>
    </row>
    <row r="92" spans="2:91" ht="14.25" thickBot="1">
      <c r="B92" s="22"/>
      <c r="C92" s="320" t="s">
        <v>9</v>
      </c>
      <c r="D92" s="321"/>
      <c r="E92" s="321" t="s">
        <v>63</v>
      </c>
      <c r="F92" s="321"/>
      <c r="G92" s="321"/>
      <c r="H92" s="321"/>
      <c r="I92" s="313" t="s">
        <v>42</v>
      </c>
      <c r="J92" s="314"/>
      <c r="K92" s="314"/>
      <c r="L92" s="314"/>
      <c r="M92" s="314"/>
      <c r="N92" s="314"/>
      <c r="O92" s="314"/>
      <c r="P92" s="314"/>
      <c r="Q92" s="314"/>
      <c r="R92" s="314"/>
      <c r="S92" s="314"/>
      <c r="T92" s="314"/>
      <c r="U92" s="314"/>
      <c r="V92" s="314"/>
      <c r="W92" s="314"/>
      <c r="X92" s="314"/>
      <c r="Y92" s="314"/>
      <c r="Z92" s="314"/>
      <c r="AA92" s="314"/>
      <c r="AB92" s="314"/>
      <c r="AC92" s="314"/>
      <c r="AD92" s="314"/>
      <c r="AE92" s="314"/>
      <c r="AF92" s="314"/>
      <c r="AG92" s="314"/>
      <c r="AH92" s="314"/>
      <c r="AI92" s="314"/>
      <c r="AJ92" s="314"/>
      <c r="AK92" s="314"/>
      <c r="AL92" s="314"/>
      <c r="AM92" s="314"/>
      <c r="AN92" s="314"/>
      <c r="AO92" s="314"/>
      <c r="AP92" s="314"/>
      <c r="AQ92" s="314"/>
      <c r="AR92" s="314"/>
      <c r="AS92" s="314"/>
      <c r="AT92" s="314"/>
      <c r="AU92" s="314"/>
      <c r="AV92" s="314"/>
      <c r="AW92" s="314"/>
      <c r="AX92" s="314"/>
      <c r="AY92" s="315"/>
      <c r="AZ92" s="321" t="s">
        <v>12</v>
      </c>
      <c r="BA92" s="321"/>
      <c r="BB92" s="321"/>
      <c r="BC92" s="321"/>
      <c r="BD92" s="313"/>
      <c r="BE92" s="397"/>
      <c r="BF92" s="314"/>
      <c r="BG92" s="314"/>
      <c r="BH92" s="398"/>
      <c r="BO92" s="1"/>
      <c r="BT92" s="2"/>
      <c r="BU92" s="3"/>
      <c r="BX92" s="4"/>
      <c r="BY92" s="3"/>
      <c r="CD92" s="4"/>
      <c r="CI92" s="2"/>
      <c r="CM92" s="5"/>
    </row>
    <row r="93" spans="2:91" ht="18" customHeight="1">
      <c r="B93" s="22"/>
      <c r="C93" s="316">
        <v>18</v>
      </c>
      <c r="D93" s="317"/>
      <c r="E93" s="390">
        <f>E89+TEXT($U$14*($X$14/1440)+($AI$14/1440)+($AW$14/1440),"hh:mm")</f>
        <v>0.7020833333333328</v>
      </c>
      <c r="F93" s="390"/>
      <c r="G93" s="390"/>
      <c r="H93" s="390"/>
      <c r="I93" s="312" t="str">
        <f>IF(ISBLANK(AZ73)," ",IF(AZ73&gt;BC73,I73,IF(AZ73&lt;BC73,AE73," ")))</f>
        <v> </v>
      </c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  <c r="Y93" s="287"/>
      <c r="Z93" s="287"/>
      <c r="AA93" s="287"/>
      <c r="AB93" s="287"/>
      <c r="AC93" s="287"/>
      <c r="AD93" s="136" t="s">
        <v>14</v>
      </c>
      <c r="AE93" s="287" t="str">
        <f>IF(ISBLANK(AZ77)," ",IF(AZ77&gt;BC77,I77,IF(AZ77&lt;BC77,AE77," ")))</f>
        <v> </v>
      </c>
      <c r="AF93" s="287"/>
      <c r="AG93" s="287"/>
      <c r="AH93" s="287"/>
      <c r="AI93" s="287"/>
      <c r="AJ93" s="287"/>
      <c r="AK93" s="287"/>
      <c r="AL93" s="287"/>
      <c r="AM93" s="287"/>
      <c r="AN93" s="287"/>
      <c r="AO93" s="287"/>
      <c r="AP93" s="287"/>
      <c r="AQ93" s="287"/>
      <c r="AR93" s="287"/>
      <c r="AS93" s="287"/>
      <c r="AT93" s="287"/>
      <c r="AU93" s="287"/>
      <c r="AV93" s="287"/>
      <c r="AW93" s="287"/>
      <c r="AX93" s="287"/>
      <c r="AY93" s="288"/>
      <c r="AZ93" s="383"/>
      <c r="BA93" s="383"/>
      <c r="BB93" s="304"/>
      <c r="BC93" s="307"/>
      <c r="BD93" s="307"/>
      <c r="BE93" s="213"/>
      <c r="BF93" s="214"/>
      <c r="BG93" s="214"/>
      <c r="BH93" s="215"/>
      <c r="BO93" s="1"/>
      <c r="BT93" s="2"/>
      <c r="BU93" s="3"/>
      <c r="BX93" s="4"/>
      <c r="BY93" s="3"/>
      <c r="CD93" s="4"/>
      <c r="CI93" s="2"/>
      <c r="CM93" s="5"/>
    </row>
    <row r="94" spans="2:91" ht="14.25" thickBot="1">
      <c r="B94" s="22"/>
      <c r="C94" s="318"/>
      <c r="D94" s="319"/>
      <c r="E94" s="391"/>
      <c r="F94" s="391"/>
      <c r="G94" s="391"/>
      <c r="H94" s="391"/>
      <c r="I94" s="309" t="s">
        <v>43</v>
      </c>
      <c r="J94" s="310"/>
      <c r="K94" s="310"/>
      <c r="L94" s="310"/>
      <c r="M94" s="310"/>
      <c r="N94" s="310"/>
      <c r="O94" s="310"/>
      <c r="P94" s="310"/>
      <c r="Q94" s="310"/>
      <c r="R94" s="310"/>
      <c r="S94" s="310"/>
      <c r="T94" s="310"/>
      <c r="U94" s="310"/>
      <c r="V94" s="310"/>
      <c r="W94" s="310"/>
      <c r="X94" s="310"/>
      <c r="Y94" s="310"/>
      <c r="Z94" s="310"/>
      <c r="AA94" s="310"/>
      <c r="AB94" s="310"/>
      <c r="AC94" s="310"/>
      <c r="AD94" s="138"/>
      <c r="AE94" s="310" t="s">
        <v>44</v>
      </c>
      <c r="AF94" s="310"/>
      <c r="AG94" s="310"/>
      <c r="AH94" s="310"/>
      <c r="AI94" s="310"/>
      <c r="AJ94" s="310"/>
      <c r="AK94" s="310"/>
      <c r="AL94" s="310"/>
      <c r="AM94" s="310"/>
      <c r="AN94" s="310"/>
      <c r="AO94" s="310"/>
      <c r="AP94" s="310"/>
      <c r="AQ94" s="310"/>
      <c r="AR94" s="310"/>
      <c r="AS94" s="310"/>
      <c r="AT94" s="310"/>
      <c r="AU94" s="310"/>
      <c r="AV94" s="310"/>
      <c r="AW94" s="310"/>
      <c r="AX94" s="310"/>
      <c r="AY94" s="311"/>
      <c r="AZ94" s="384"/>
      <c r="BA94" s="384"/>
      <c r="BB94" s="384"/>
      <c r="BC94" s="384"/>
      <c r="BD94" s="385"/>
      <c r="BE94" s="219"/>
      <c r="BF94" s="220"/>
      <c r="BG94" s="220"/>
      <c r="BH94" s="221"/>
      <c r="BO94" s="1"/>
      <c r="BT94" s="2"/>
      <c r="BU94" s="3"/>
      <c r="BX94" s="4"/>
      <c r="BY94" s="3"/>
      <c r="CD94" s="4"/>
      <c r="CI94" s="2"/>
      <c r="CM94" s="5"/>
    </row>
    <row r="95" spans="2:91" ht="13.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139"/>
      <c r="AV95" s="139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O95" s="1"/>
      <c r="BT95" s="2"/>
      <c r="BU95" s="3"/>
      <c r="BX95" s="4"/>
      <c r="BY95" s="3"/>
      <c r="CD95" s="4"/>
      <c r="CI95" s="2"/>
      <c r="CM95" s="5"/>
    </row>
    <row r="96" spans="2:91" ht="13.5">
      <c r="B96" s="22"/>
      <c r="C96" s="22"/>
      <c r="D96" s="22"/>
      <c r="E96" s="22"/>
      <c r="F96" s="22"/>
      <c r="G96" s="22"/>
      <c r="H96" s="22"/>
      <c r="I96" s="22"/>
      <c r="J96" s="31" t="s">
        <v>45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O96" s="1"/>
      <c r="BT96" s="2"/>
      <c r="BU96" s="3"/>
      <c r="BX96" s="4"/>
      <c r="BY96" s="3"/>
      <c r="CD96" s="4"/>
      <c r="CI96" s="2"/>
      <c r="CM96" s="5"/>
    </row>
    <row r="97" spans="2:91" ht="14.25" thickBot="1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O97" s="1"/>
      <c r="BT97" s="2"/>
      <c r="BU97" s="3"/>
      <c r="BX97" s="4"/>
      <c r="BY97" s="3"/>
      <c r="CD97" s="4"/>
      <c r="CI97" s="2"/>
      <c r="CM97" s="5"/>
    </row>
    <row r="98" spans="2:91" ht="19.5" customHeight="1">
      <c r="B98" s="22"/>
      <c r="C98" s="22"/>
      <c r="D98" s="22"/>
      <c r="E98" s="22"/>
      <c r="F98" s="22"/>
      <c r="G98" s="22"/>
      <c r="H98" s="22"/>
      <c r="I98" s="22"/>
      <c r="J98" s="418" t="s">
        <v>46</v>
      </c>
      <c r="K98" s="419"/>
      <c r="L98" s="405" t="str">
        <f>IF(ISBLANK($BC$93)," ",IF($AZ$93&gt;$BC$93,$I$93,IF($BC$93&gt;$AZ$93,$AE$93)))</f>
        <v> </v>
      </c>
      <c r="M98" s="406"/>
      <c r="N98" s="406"/>
      <c r="O98" s="406"/>
      <c r="P98" s="406"/>
      <c r="Q98" s="406"/>
      <c r="R98" s="406"/>
      <c r="S98" s="406"/>
      <c r="T98" s="406"/>
      <c r="U98" s="406"/>
      <c r="V98" s="406"/>
      <c r="W98" s="406"/>
      <c r="X98" s="406"/>
      <c r="Y98" s="406"/>
      <c r="Z98" s="406"/>
      <c r="AA98" s="406"/>
      <c r="AB98" s="406"/>
      <c r="AC98" s="406"/>
      <c r="AD98" s="406"/>
      <c r="AE98" s="406"/>
      <c r="AF98" s="407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3"/>
      <c r="BF98" s="23"/>
      <c r="BG98" s="23"/>
      <c r="BH98" s="23"/>
      <c r="BO98" s="1"/>
      <c r="BT98" s="2"/>
      <c r="BU98" s="3"/>
      <c r="BX98" s="4"/>
      <c r="BY98" s="3"/>
      <c r="CD98" s="4"/>
      <c r="CI98" s="2"/>
      <c r="CM98" s="5"/>
    </row>
    <row r="99" spans="2:87" s="36" customFormat="1" ht="19.5" customHeight="1">
      <c r="B99" s="22"/>
      <c r="C99" s="22"/>
      <c r="D99" s="22"/>
      <c r="E99" s="22"/>
      <c r="F99" s="22"/>
      <c r="G99" s="22"/>
      <c r="H99" s="22"/>
      <c r="I99" s="22"/>
      <c r="J99" s="416" t="s">
        <v>47</v>
      </c>
      <c r="K99" s="417"/>
      <c r="L99" s="411" t="str">
        <f>IF(ISBLANK($BC$93)," ",IF($AZ$93&lt;$BC$93,$I$93,IF($BC$93&lt;$AZ$93,$AE$93)))</f>
        <v> </v>
      </c>
      <c r="M99" s="412"/>
      <c r="N99" s="412"/>
      <c r="O99" s="412"/>
      <c r="P99" s="412"/>
      <c r="Q99" s="412"/>
      <c r="R99" s="412"/>
      <c r="S99" s="412"/>
      <c r="T99" s="412"/>
      <c r="U99" s="412"/>
      <c r="V99" s="412"/>
      <c r="W99" s="412"/>
      <c r="X99" s="412"/>
      <c r="Y99" s="412"/>
      <c r="Z99" s="412"/>
      <c r="AA99" s="412"/>
      <c r="AB99" s="412"/>
      <c r="AC99" s="412"/>
      <c r="AD99" s="412"/>
      <c r="AE99" s="412"/>
      <c r="AF99" s="413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3"/>
      <c r="BF99" s="23"/>
      <c r="BG99" s="23"/>
      <c r="BH99" s="23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2:86" s="36" customFormat="1" ht="19.5" customHeight="1">
      <c r="B100" s="22"/>
      <c r="C100" s="22"/>
      <c r="D100" s="22"/>
      <c r="E100" s="22"/>
      <c r="F100" s="22"/>
      <c r="G100" s="22"/>
      <c r="H100" s="22"/>
      <c r="I100" s="22"/>
      <c r="J100" s="416" t="s">
        <v>48</v>
      </c>
      <c r="K100" s="417"/>
      <c r="L100" s="411" t="str">
        <f>IF(ISBLANK($BC$89)," ",IF($AZ$89&gt;$BC$89,$I$89,IF($BC$89&gt;$AZ$89,$AE$89)))</f>
        <v> </v>
      </c>
      <c r="M100" s="412"/>
      <c r="N100" s="412"/>
      <c r="O100" s="412"/>
      <c r="P100" s="412"/>
      <c r="Q100" s="412"/>
      <c r="R100" s="412"/>
      <c r="S100" s="412"/>
      <c r="T100" s="412"/>
      <c r="U100" s="412"/>
      <c r="V100" s="412"/>
      <c r="W100" s="412"/>
      <c r="X100" s="412"/>
      <c r="Y100" s="412"/>
      <c r="Z100" s="412"/>
      <c r="AA100" s="412"/>
      <c r="AB100" s="412"/>
      <c r="AC100" s="412"/>
      <c r="AD100" s="412"/>
      <c r="AE100" s="412"/>
      <c r="AF100" s="413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3"/>
      <c r="BG100" s="23"/>
      <c r="BH100" s="23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2:86" s="36" customFormat="1" ht="19.5" customHeight="1">
      <c r="B101" s="22"/>
      <c r="C101" s="22"/>
      <c r="D101" s="22"/>
      <c r="E101" s="22"/>
      <c r="F101" s="22"/>
      <c r="G101" s="22"/>
      <c r="H101" s="22"/>
      <c r="I101" s="22"/>
      <c r="J101" s="416" t="s">
        <v>49</v>
      </c>
      <c r="K101" s="417"/>
      <c r="L101" s="411" t="str">
        <f>IF(ISBLANK($BC$89)," ",IF($AZ$89&lt;$BC$89,$I$89,IF($BC$89&lt;$AZ$89,$AE$89)))</f>
        <v> </v>
      </c>
      <c r="M101" s="412"/>
      <c r="N101" s="412"/>
      <c r="O101" s="412"/>
      <c r="P101" s="412"/>
      <c r="Q101" s="412"/>
      <c r="R101" s="412"/>
      <c r="S101" s="412"/>
      <c r="T101" s="412"/>
      <c r="U101" s="412"/>
      <c r="V101" s="412"/>
      <c r="W101" s="412"/>
      <c r="X101" s="412"/>
      <c r="Y101" s="412"/>
      <c r="Z101" s="412"/>
      <c r="AA101" s="412"/>
      <c r="AB101" s="412"/>
      <c r="AC101" s="412"/>
      <c r="AD101" s="412"/>
      <c r="AE101" s="412"/>
      <c r="AF101" s="413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3"/>
      <c r="BF101" s="23"/>
      <c r="BG101" s="23"/>
      <c r="BH101" s="23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2:86" s="36" customFormat="1" ht="19.5" customHeight="1">
      <c r="B102" s="22"/>
      <c r="C102" s="22"/>
      <c r="D102" s="22"/>
      <c r="E102" s="22"/>
      <c r="F102" s="22"/>
      <c r="G102" s="22"/>
      <c r="H102" s="22"/>
      <c r="I102" s="22"/>
      <c r="J102" s="416" t="s">
        <v>50</v>
      </c>
      <c r="K102" s="417"/>
      <c r="L102" s="411" t="str">
        <f>IF(ISBLANK($BC$85)," ",IF($AZ$85&gt;$BC$85,$I$85,IF($BC$85&gt;$AZ$85,$AE$85)))</f>
        <v> </v>
      </c>
      <c r="M102" s="412"/>
      <c r="N102" s="412"/>
      <c r="O102" s="412"/>
      <c r="P102" s="412"/>
      <c r="Q102" s="412"/>
      <c r="R102" s="412"/>
      <c r="S102" s="412"/>
      <c r="T102" s="412"/>
      <c r="U102" s="412"/>
      <c r="V102" s="412"/>
      <c r="W102" s="412"/>
      <c r="X102" s="412"/>
      <c r="Y102" s="412"/>
      <c r="Z102" s="412"/>
      <c r="AA102" s="412"/>
      <c r="AB102" s="412"/>
      <c r="AC102" s="412"/>
      <c r="AD102" s="412"/>
      <c r="AE102" s="412"/>
      <c r="AF102" s="413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3"/>
      <c r="BF102" s="23"/>
      <c r="BG102" s="23"/>
      <c r="BH102" s="23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2:86" s="36" customFormat="1" ht="19.5" customHeight="1">
      <c r="B103" s="22"/>
      <c r="C103" s="22"/>
      <c r="D103" s="22"/>
      <c r="E103" s="22"/>
      <c r="F103" s="22"/>
      <c r="G103" s="22"/>
      <c r="H103" s="22"/>
      <c r="I103" s="22"/>
      <c r="J103" s="416" t="s">
        <v>51</v>
      </c>
      <c r="K103" s="417"/>
      <c r="L103" s="411" t="str">
        <f>IF(ISBLANK($BC$85)," ",IF($AZ$85&lt;$BC$85,$I$85,IF($BC$85&lt;$AZ$85,$AE$85)))</f>
        <v> </v>
      </c>
      <c r="M103" s="412"/>
      <c r="N103" s="412"/>
      <c r="O103" s="412"/>
      <c r="P103" s="412"/>
      <c r="Q103" s="412"/>
      <c r="R103" s="412"/>
      <c r="S103" s="412"/>
      <c r="T103" s="412"/>
      <c r="U103" s="412"/>
      <c r="V103" s="412"/>
      <c r="W103" s="412"/>
      <c r="X103" s="412"/>
      <c r="Y103" s="412"/>
      <c r="Z103" s="412"/>
      <c r="AA103" s="412"/>
      <c r="AB103" s="412"/>
      <c r="AC103" s="412"/>
      <c r="AD103" s="412"/>
      <c r="AE103" s="412"/>
      <c r="AF103" s="413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3"/>
      <c r="BF103" s="23"/>
      <c r="BG103" s="23"/>
      <c r="BH103" s="23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2:86" s="36" customFormat="1" ht="19.5" customHeight="1">
      <c r="B104" s="22"/>
      <c r="C104" s="22"/>
      <c r="D104" s="22"/>
      <c r="E104" s="22"/>
      <c r="F104" s="22"/>
      <c r="G104" s="22"/>
      <c r="H104" s="22"/>
      <c r="I104" s="22"/>
      <c r="J104" s="416" t="s">
        <v>52</v>
      </c>
      <c r="K104" s="417"/>
      <c r="L104" s="411" t="str">
        <f>IF(ISBLANK($BC$81)," ",IF($AZ$81&gt;$BC$81,$I$81,IF($BC$81&gt;$AZ$81,$AE$81)))</f>
        <v> </v>
      </c>
      <c r="M104" s="412"/>
      <c r="N104" s="412"/>
      <c r="O104" s="412"/>
      <c r="P104" s="412"/>
      <c r="Q104" s="412"/>
      <c r="R104" s="412"/>
      <c r="S104" s="412"/>
      <c r="T104" s="412"/>
      <c r="U104" s="412"/>
      <c r="V104" s="412"/>
      <c r="W104" s="412"/>
      <c r="X104" s="412"/>
      <c r="Y104" s="412"/>
      <c r="Z104" s="412"/>
      <c r="AA104" s="412"/>
      <c r="AB104" s="412"/>
      <c r="AC104" s="412"/>
      <c r="AD104" s="412"/>
      <c r="AE104" s="412"/>
      <c r="AF104" s="413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3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2:86" s="36" customFormat="1" ht="19.5" customHeight="1" thickBot="1">
      <c r="B105" s="22"/>
      <c r="C105" s="22"/>
      <c r="D105" s="22"/>
      <c r="E105" s="22"/>
      <c r="F105" s="22"/>
      <c r="G105" s="22"/>
      <c r="H105" s="22"/>
      <c r="I105" s="22"/>
      <c r="J105" s="414" t="s">
        <v>53</v>
      </c>
      <c r="K105" s="415"/>
      <c r="L105" s="408" t="str">
        <f>IF(ISBLANK($BC$81)," ",IF($AZ$81&lt;$BC$81,$I$81,IF($BC$81&lt;$AZ$81,$AE$81)))</f>
        <v> </v>
      </c>
      <c r="M105" s="409"/>
      <c r="N105" s="409"/>
      <c r="O105" s="409"/>
      <c r="P105" s="409"/>
      <c r="Q105" s="409"/>
      <c r="R105" s="409"/>
      <c r="S105" s="409"/>
      <c r="T105" s="409"/>
      <c r="U105" s="409"/>
      <c r="V105" s="409"/>
      <c r="W105" s="409"/>
      <c r="X105" s="409"/>
      <c r="Y105" s="409"/>
      <c r="Z105" s="409"/>
      <c r="AA105" s="409"/>
      <c r="AB105" s="409"/>
      <c r="AC105" s="409"/>
      <c r="AD105" s="409"/>
      <c r="AE105" s="409"/>
      <c r="AF105" s="410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3"/>
      <c r="BG105" s="23"/>
      <c r="BH105" s="23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2:86" s="36" customFormat="1" ht="17.25">
      <c r="B106" s="1"/>
      <c r="C106" s="1"/>
      <c r="D106" s="1"/>
      <c r="E106" s="1"/>
      <c r="F106" s="1"/>
      <c r="G106" s="1"/>
      <c r="H106" s="1"/>
      <c r="I106" s="1"/>
      <c r="J106" s="33"/>
      <c r="K106" s="3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10:86" s="36" customFormat="1" ht="17.25">
      <c r="J107" s="149"/>
      <c r="K107" s="149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2:86" s="36" customFormat="1" ht="12.75">
      <c r="B108" s="195" t="s">
        <v>67</v>
      </c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2:86" s="36" customFormat="1" ht="12.75">
      <c r="B109" s="196" t="s">
        <v>68</v>
      </c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44"/>
      <c r="AX109" s="44"/>
      <c r="AY109" s="44"/>
      <c r="AZ109" s="44"/>
      <c r="BA109" s="44"/>
      <c r="BB109" s="44"/>
      <c r="BC109" s="44"/>
      <c r="BD109" s="44"/>
      <c r="BE109" s="44"/>
      <c r="BF109" s="155"/>
      <c r="BG109" s="155"/>
      <c r="BH109" s="155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2:86" s="36" customFormat="1" ht="12.75">
      <c r="B110" s="196" t="s">
        <v>69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AW110" s="44"/>
      <c r="AX110" s="44"/>
      <c r="AY110" s="44"/>
      <c r="AZ110" s="44"/>
      <c r="BA110" s="44"/>
      <c r="BB110" s="44"/>
      <c r="BC110" s="44"/>
      <c r="BD110" s="44"/>
      <c r="BE110" s="44"/>
      <c r="BF110" s="155"/>
      <c r="BG110" s="155"/>
      <c r="BH110" s="155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2:86" s="36" customFormat="1" ht="12.75">
      <c r="B111" s="196" t="s">
        <v>70</v>
      </c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2:86" s="36" customFormat="1" ht="12.75">
      <c r="B112" s="194" t="s">
        <v>71</v>
      </c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2:86" s="36" customFormat="1" ht="12.75">
      <c r="B113" s="193" t="s">
        <v>72</v>
      </c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2:86" s="36" customFormat="1" ht="12.75">
      <c r="B114" s="193" t="s">
        <v>73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2:86" s="36" customFormat="1" ht="12.75">
      <c r="B115" s="193" t="s">
        <v>74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2:86" s="36" customFormat="1" ht="12.75">
      <c r="B116" s="193" t="s">
        <v>75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67:86" s="36" customFormat="1" ht="12.75"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67:86" s="36" customFormat="1" ht="12.75" hidden="1"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67:86" s="36" customFormat="1" ht="12.75" hidden="1"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67:86" s="36" customFormat="1" ht="12.75" hidden="1"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67:86" s="36" customFormat="1" ht="12.75" hidden="1"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67:86" s="36" customFormat="1" ht="12.75" hidden="1"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67:86" s="36" customFormat="1" ht="12.75" hidden="1"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67:86" s="36" customFormat="1" ht="12.75" hidden="1"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67:86" s="36" customFormat="1" ht="12.75" hidden="1"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67:86" s="36" customFormat="1" ht="12.75" hidden="1"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67:86" s="36" customFormat="1" ht="12.75" hidden="1"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67:86" s="36" customFormat="1" ht="12.75" hidden="1"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67:86" s="36" customFormat="1" ht="12.75" hidden="1"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67:86" s="36" customFormat="1" ht="12.75" hidden="1"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67:86" s="36" customFormat="1" ht="12.75" hidden="1"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67:86" s="36" customFormat="1" ht="12.75" hidden="1"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67:86" s="36" customFormat="1" ht="12.75" hidden="1"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67:86" s="36" customFormat="1" ht="12.75" hidden="1"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67:86" s="36" customFormat="1" ht="12.75" hidden="1"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67:86" s="36" customFormat="1" ht="12.75" hidden="1"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67:86" s="36" customFormat="1" ht="12.75" hidden="1"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67:86" s="36" customFormat="1" ht="12.75" hidden="1"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67:86" s="36" customFormat="1" ht="12.75" hidden="1"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67:86" s="36" customFormat="1" ht="12.75" hidden="1"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67:86" s="36" customFormat="1" ht="12.75" hidden="1"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67:86" s="36" customFormat="1" ht="12.75" hidden="1"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67:86" s="36" customFormat="1" ht="12.75" hidden="1"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67:86" s="36" customFormat="1" ht="12.75" hidden="1"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67:86" s="36" customFormat="1" ht="12.75" hidden="1"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67:86" s="36" customFormat="1" ht="12.75" hidden="1"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67:86" s="36" customFormat="1" ht="12.75" hidden="1"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67:86" s="36" customFormat="1" ht="12.75" hidden="1"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67:86" s="36" customFormat="1" ht="12.75" hidden="1"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67:86" s="36" customFormat="1" ht="12.75" hidden="1"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67:86" s="36" customFormat="1" ht="12.75" hidden="1"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67:86" s="36" customFormat="1" ht="12.75" hidden="1"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67:86" s="36" customFormat="1" ht="12.75" hidden="1"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67:86" s="36" customFormat="1" ht="12.75" hidden="1"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67:86" s="36" customFormat="1" ht="12.75" hidden="1"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67:86" s="36" customFormat="1" ht="12.75" hidden="1"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67:86" s="36" customFormat="1" ht="12.75" hidden="1"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67:86" s="36" customFormat="1" ht="12.75" hidden="1"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67:86" s="36" customFormat="1" ht="12.75" hidden="1"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67:86" s="36" customFormat="1" ht="12.75" hidden="1"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67:86" s="36" customFormat="1" ht="12.75" hidden="1"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67:86" s="36" customFormat="1" ht="12.75" hidden="1"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67:86" s="36" customFormat="1" ht="12.75" hidden="1"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67:86" s="36" customFormat="1" ht="12.75" hidden="1"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67:86" s="36" customFormat="1" ht="12.75" hidden="1"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67:86" s="36" customFormat="1" ht="12.75" hidden="1"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67:86" s="36" customFormat="1" ht="12.75" hidden="1"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67:86" s="36" customFormat="1" ht="12.75" hidden="1"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67:86" s="36" customFormat="1" ht="12.75" hidden="1"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67:86" s="36" customFormat="1" ht="12.75" hidden="1"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67:86" s="36" customFormat="1" ht="12.75" hidden="1"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67:86" s="36" customFormat="1" ht="12.75" hidden="1"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67:86" s="36" customFormat="1" ht="12.75" hidden="1"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67:86" s="36" customFormat="1" ht="12.75" hidden="1"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67:86" s="36" customFormat="1" ht="12.75" hidden="1"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67:86" s="36" customFormat="1" ht="12.75" hidden="1"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67:86" s="36" customFormat="1" ht="12.75" hidden="1"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67:86" s="36" customFormat="1" ht="12.75" hidden="1"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67:86" s="36" customFormat="1" ht="12.75" hidden="1"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67:86" s="36" customFormat="1" ht="12.75" hidden="1"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67:86" s="36" customFormat="1" ht="12.75" hidden="1"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67:86" s="36" customFormat="1" ht="12.75" hidden="1"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67:86" s="36" customFormat="1" ht="12.75" hidden="1"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67:86" s="36" customFormat="1" ht="12.75" hidden="1"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67:86" s="36" customFormat="1" ht="12.75" hidden="1"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67:86" s="36" customFormat="1" ht="12.75" hidden="1"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67:86" s="36" customFormat="1" ht="12.75" hidden="1"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67:86" s="36" customFormat="1" ht="12.75" hidden="1"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67:86" s="36" customFormat="1" ht="12.75" hidden="1"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67:86" s="36" customFormat="1" ht="12.75" hidden="1"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67:86" s="36" customFormat="1" ht="12.75" hidden="1"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67:86" s="36" customFormat="1" ht="12.75" hidden="1"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67:86" s="36" customFormat="1" ht="12.75" hidden="1"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67:86" s="36" customFormat="1" ht="12.75" hidden="1"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67:86" s="36" customFormat="1" ht="12.75" hidden="1"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67:86" s="36" customFormat="1" ht="12.75" hidden="1"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67:86" s="36" customFormat="1" ht="12.75" hidden="1"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67:86" s="36" customFormat="1" ht="12.75" hidden="1"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67:86" s="36" customFormat="1" ht="12.75" hidden="1"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67:86" s="36" customFormat="1" ht="12.75" hidden="1"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67:86" s="36" customFormat="1" ht="12.75" hidden="1"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67:86" s="36" customFormat="1" ht="12.75" hidden="1"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67:86" s="36" customFormat="1" ht="12.75" hidden="1"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67:86" s="36" customFormat="1" ht="12.75" hidden="1"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67:86" s="36" customFormat="1" ht="12.75" hidden="1"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67:86" s="36" customFormat="1" ht="12.75" hidden="1"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67:86" s="36" customFormat="1" ht="12.75" hidden="1"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67:86" s="36" customFormat="1" ht="12.75" hidden="1"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67:86" s="36" customFormat="1" ht="12.75" hidden="1"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67:86" s="36" customFormat="1" ht="12.75" hidden="1"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67:86" s="36" customFormat="1" ht="12.75" hidden="1"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67:86" s="36" customFormat="1" ht="12.75" hidden="1"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67:86" s="36" customFormat="1" ht="12.75" hidden="1"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67:86" s="36" customFormat="1" ht="12.75" hidden="1"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67:86" s="36" customFormat="1" ht="12.75" hidden="1"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67:86" s="36" customFormat="1" ht="12.75" hidden="1"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67:86" s="36" customFormat="1" ht="12.75" hidden="1"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67:86" s="36" customFormat="1" ht="12.75" hidden="1"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67:86" s="36" customFormat="1" ht="12.75" hidden="1"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67:86" s="36" customFormat="1" ht="12.75" hidden="1"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67:86" s="36" customFormat="1" ht="12.75" hidden="1"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67:86" s="36" customFormat="1" ht="12.75" hidden="1"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67:86" s="36" customFormat="1" ht="12.75" hidden="1"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67:86" s="36" customFormat="1" ht="12.75" hidden="1"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67:86" s="36" customFormat="1" ht="12.75" hidden="1"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67:86" s="36" customFormat="1" ht="12.75" hidden="1"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67:86" s="36" customFormat="1" ht="12.75" hidden="1"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67:86" s="36" customFormat="1" ht="12.75" hidden="1"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67:86" s="36" customFormat="1" ht="12.75" hidden="1"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67:86" s="36" customFormat="1" ht="12.75" hidden="1"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67:86" s="36" customFormat="1" ht="12.75" hidden="1"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67:86" s="36" customFormat="1" ht="12.75" hidden="1"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67:86" s="36" customFormat="1" ht="12.75" hidden="1"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67:86" s="36" customFormat="1" ht="12.75" hidden="1"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67:86" s="36" customFormat="1" ht="12.75" hidden="1"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67:86" s="36" customFormat="1" ht="12.75" hidden="1"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67:86" s="36" customFormat="1" ht="12.75" hidden="1"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67:86" s="36" customFormat="1" ht="12.75" hidden="1"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67:86" s="36" customFormat="1" ht="12.75" hidden="1"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67:86" s="36" customFormat="1" ht="12.75" hidden="1"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67:86" s="36" customFormat="1" ht="12.75" hidden="1"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67:86" s="36" customFormat="1" ht="12.75" hidden="1"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67:86" s="36" customFormat="1" ht="12.75" hidden="1"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</row>
    <row r="244" spans="67:86" s="36" customFormat="1" ht="12.75" hidden="1"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</row>
    <row r="245" spans="67:86" s="36" customFormat="1" ht="12.75" hidden="1"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</row>
    <row r="246" spans="67:86" s="36" customFormat="1" ht="12.75" hidden="1"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</row>
    <row r="247" spans="67:86" s="36" customFormat="1" ht="12.75" hidden="1"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</row>
    <row r="248" spans="67:86" s="36" customFormat="1" ht="12.75" hidden="1"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</row>
    <row r="249" spans="67:86" s="36" customFormat="1" ht="12.75" hidden="1"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</row>
    <row r="250" spans="67:86" s="36" customFormat="1" ht="12.75" hidden="1"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</row>
    <row r="251" spans="67:86" s="36" customFormat="1" ht="12.75" hidden="1"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</row>
    <row r="252" spans="67:86" s="36" customFormat="1" ht="12.75" hidden="1"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</row>
    <row r="253" spans="67:86" s="36" customFormat="1" ht="12.75" hidden="1"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</row>
    <row r="254" spans="67:86" s="36" customFormat="1" ht="12.75" hidden="1"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</row>
    <row r="255" spans="67:86" s="36" customFormat="1" ht="12.75" hidden="1"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</row>
    <row r="256" spans="67:86" s="36" customFormat="1" ht="12.75" hidden="1"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</row>
    <row r="257" spans="67:86" s="36" customFormat="1" ht="12.75" hidden="1"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</row>
    <row r="258" spans="67:86" s="36" customFormat="1" ht="12.75" hidden="1"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</row>
    <row r="259" spans="67:86" s="36" customFormat="1" ht="12.75" hidden="1"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</row>
    <row r="260" spans="67:86" s="36" customFormat="1" ht="12.75" hidden="1"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</row>
    <row r="261" spans="67:86" s="36" customFormat="1" ht="12.75" hidden="1"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</row>
    <row r="262" spans="67:86" s="36" customFormat="1" ht="12.75" hidden="1"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</row>
    <row r="263" spans="67:86" s="36" customFormat="1" ht="12.75" hidden="1"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</row>
    <row r="264" spans="67:86" s="36" customFormat="1" ht="12.75" hidden="1"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</row>
    <row r="265" spans="67:86" s="36" customFormat="1" ht="12.75" hidden="1"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</row>
    <row r="266" spans="67:86" s="36" customFormat="1" ht="12.75" hidden="1"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</row>
    <row r="267" spans="67:86" s="36" customFormat="1" ht="12.75" hidden="1"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</row>
    <row r="268" spans="67:86" s="36" customFormat="1" ht="12.75" hidden="1"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</row>
    <row r="269" spans="67:86" s="36" customFormat="1" ht="12.75" hidden="1"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</row>
    <row r="270" spans="67:86" s="36" customFormat="1" ht="12.75" hidden="1"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</row>
    <row r="271" spans="67:86" s="36" customFormat="1" ht="12.75" hidden="1"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</row>
    <row r="272" spans="67:86" s="36" customFormat="1" ht="12.75" hidden="1"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</row>
    <row r="273" spans="67:86" s="36" customFormat="1" ht="12.75" hidden="1"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</row>
    <row r="274" spans="67:86" s="36" customFormat="1" ht="12.75" hidden="1"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</row>
    <row r="275" spans="67:86" s="36" customFormat="1" ht="12.75" hidden="1"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6" spans="67:86" s="36" customFormat="1" ht="12.75" hidden="1"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</row>
    <row r="277" spans="67:86" s="36" customFormat="1" ht="12.75" hidden="1"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</row>
    <row r="278" spans="67:86" s="36" customFormat="1" ht="12.75" hidden="1"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</row>
    <row r="279" spans="67:86" s="36" customFormat="1" ht="12.75" hidden="1"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</row>
    <row r="280" spans="67:86" s="36" customFormat="1" ht="12.75" hidden="1"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</row>
    <row r="281" spans="67:86" s="36" customFormat="1" ht="12.75" hidden="1"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</row>
    <row r="282" spans="67:86" s="36" customFormat="1" ht="12.75" hidden="1"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</row>
    <row r="283" spans="67:86" s="36" customFormat="1" ht="12.75" hidden="1"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</row>
    <row r="284" spans="67:86" s="36" customFormat="1" ht="12.75" hidden="1"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</row>
    <row r="285" spans="67:86" s="36" customFormat="1" ht="12.75" hidden="1"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</row>
    <row r="286" spans="67:86" s="36" customFormat="1" ht="12.75" hidden="1"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</row>
    <row r="287" spans="67:86" s="36" customFormat="1" ht="12.75" hidden="1"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</row>
    <row r="288" spans="67:86" s="36" customFormat="1" ht="12.75" hidden="1"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</row>
    <row r="289" spans="67:86" s="36" customFormat="1" ht="12.75" hidden="1"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</row>
    <row r="290" spans="67:86" s="36" customFormat="1" ht="12.75" hidden="1"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</row>
    <row r="291" spans="67:86" s="36" customFormat="1" ht="12.75" hidden="1"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</row>
    <row r="292" spans="67:86" s="36" customFormat="1" ht="12.75" hidden="1"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</row>
    <row r="293" spans="67:86" s="36" customFormat="1" ht="12.75" hidden="1"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</row>
    <row r="294" spans="67:86" s="36" customFormat="1" ht="12.75" hidden="1"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</row>
    <row r="295" spans="67:86" s="36" customFormat="1" ht="12.75" hidden="1"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</row>
    <row r="296" spans="67:86" s="36" customFormat="1" ht="12.75" hidden="1"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</row>
    <row r="297" spans="67:86" s="36" customFormat="1" ht="12.75" hidden="1"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</row>
    <row r="298" spans="67:86" s="36" customFormat="1" ht="12.75" hidden="1"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</row>
    <row r="299" spans="67:86" s="36" customFormat="1" ht="12.75" hidden="1"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</row>
    <row r="300" spans="67:86" s="36" customFormat="1" ht="12.75" hidden="1"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</row>
    <row r="301" spans="67:86" s="36" customFormat="1" ht="12.75" hidden="1"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</row>
    <row r="302" spans="67:86" s="36" customFormat="1" ht="12.75" hidden="1"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</row>
    <row r="303" spans="67:86" s="36" customFormat="1" ht="12.75" hidden="1"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</row>
    <row r="304" spans="67:86" s="36" customFormat="1" ht="12.75" hidden="1"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</row>
    <row r="305" spans="67:86" s="36" customFormat="1" ht="12.75" hidden="1"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</row>
    <row r="306" spans="67:86" s="36" customFormat="1" ht="12.75" hidden="1"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</row>
    <row r="307" spans="67:86" s="36" customFormat="1" ht="12.75" hidden="1"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</row>
    <row r="308" spans="67:86" s="36" customFormat="1" ht="12.75" hidden="1"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</row>
    <row r="309" spans="67:86" s="36" customFormat="1" ht="12.75" hidden="1"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</row>
    <row r="310" spans="67:86" s="36" customFormat="1" ht="12.75" hidden="1"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</row>
    <row r="311" spans="67:86" s="36" customFormat="1" ht="12.75" hidden="1"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</row>
    <row r="312" spans="67:86" s="36" customFormat="1" ht="12.75" hidden="1"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</row>
    <row r="313" spans="67:86" s="36" customFormat="1" ht="12.75" hidden="1"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</row>
    <row r="314" spans="67:86" s="36" customFormat="1" ht="12.75" hidden="1"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</row>
    <row r="315" spans="67:86" s="36" customFormat="1" ht="12.75" hidden="1"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</row>
    <row r="316" spans="67:86" s="36" customFormat="1" ht="12.75" hidden="1"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</row>
    <row r="317" spans="67:86" s="36" customFormat="1" ht="12.75" hidden="1"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</row>
    <row r="318" spans="67:86" s="36" customFormat="1" ht="12.75" hidden="1"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</row>
    <row r="319" spans="67:86" s="36" customFormat="1" ht="12.75" hidden="1"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</row>
    <row r="320" spans="67:86" s="36" customFormat="1" ht="12.75" hidden="1"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</row>
    <row r="321" spans="67:86" s="36" customFormat="1" ht="12.75" hidden="1"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</row>
    <row r="322" spans="67:86" s="36" customFormat="1" ht="12.75" hidden="1"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</row>
    <row r="323" spans="67:86" s="36" customFormat="1" ht="12.75" hidden="1"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</row>
    <row r="324" spans="67:86" s="36" customFormat="1" ht="12.75" hidden="1"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</row>
    <row r="325" spans="67:86" s="36" customFormat="1" ht="12.75" hidden="1"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</row>
    <row r="326" spans="67:86" s="36" customFormat="1" ht="12.75" hidden="1"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</row>
    <row r="327" spans="67:86" s="36" customFormat="1" ht="12.75" hidden="1"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</row>
    <row r="328" spans="67:86" s="36" customFormat="1" ht="12.75" hidden="1"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</row>
    <row r="329" spans="67:86" s="36" customFormat="1" ht="12.75" hidden="1"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</row>
    <row r="330" spans="67:86" s="36" customFormat="1" ht="12.75" hidden="1"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</row>
    <row r="331" spans="67:86" s="36" customFormat="1" ht="12.75" hidden="1"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</row>
    <row r="332" spans="67:86" s="36" customFormat="1" ht="12.75" hidden="1"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</row>
    <row r="333" spans="67:86" s="36" customFormat="1" ht="12.75" hidden="1"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</row>
    <row r="334" spans="67:86" s="36" customFormat="1" ht="12.75" hidden="1"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</row>
    <row r="335" spans="67:86" s="36" customFormat="1" ht="12.75" hidden="1"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</row>
    <row r="336" spans="67:86" s="36" customFormat="1" ht="12.75" hidden="1"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</row>
    <row r="337" spans="67:86" s="36" customFormat="1" ht="12.75" hidden="1"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</row>
    <row r="338" spans="67:86" s="36" customFormat="1" ht="12.75" hidden="1"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</row>
    <row r="339" spans="67:86" s="36" customFormat="1" ht="12.75" hidden="1"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</row>
    <row r="340" spans="67:86" s="36" customFormat="1" ht="12.75" hidden="1"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</row>
    <row r="341" spans="67:86" s="36" customFormat="1" ht="12.75" hidden="1"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</row>
    <row r="342" spans="67:86" s="36" customFormat="1" ht="12.75" hidden="1"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</row>
    <row r="343" spans="67:86" s="36" customFormat="1" ht="12.75" hidden="1"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</row>
    <row r="344" spans="67:86" s="36" customFormat="1" ht="12.75" hidden="1"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</row>
    <row r="345" spans="67:86" s="36" customFormat="1" ht="12.75" hidden="1"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</row>
    <row r="346" spans="67:86" s="36" customFormat="1" ht="12.75" hidden="1"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</row>
    <row r="347" spans="67:86" s="36" customFormat="1" ht="12.75" hidden="1"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</row>
    <row r="348" spans="67:86" s="36" customFormat="1" ht="12.75" hidden="1"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</row>
    <row r="349" spans="67:86" s="36" customFormat="1" ht="12.75" hidden="1"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</row>
    <row r="350" spans="67:86" s="36" customFormat="1" ht="12.75" hidden="1"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</row>
    <row r="351" spans="67:86" s="36" customFormat="1" ht="12.75" hidden="1"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</row>
    <row r="352" spans="67:86" s="36" customFormat="1" ht="12.75" hidden="1"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</row>
    <row r="353" spans="67:86" s="36" customFormat="1" ht="12.75" hidden="1"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</row>
    <row r="354" spans="67:86" s="36" customFormat="1" ht="12.75" hidden="1"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</row>
    <row r="355" spans="67:86" s="36" customFormat="1" ht="12.75" hidden="1"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</row>
    <row r="356" spans="67:86" s="36" customFormat="1" ht="12.75" hidden="1"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</row>
    <row r="357" spans="67:86" s="36" customFormat="1" ht="12.75" hidden="1"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</row>
    <row r="358" spans="67:86" s="36" customFormat="1" ht="12.75" hidden="1"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</row>
    <row r="359" spans="67:86" s="36" customFormat="1" ht="12.75" hidden="1"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</row>
    <row r="360" spans="67:86" s="36" customFormat="1" ht="12.75" hidden="1"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</row>
    <row r="361" spans="67:86" s="36" customFormat="1" ht="12.75" hidden="1"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</row>
    <row r="362" spans="67:86" s="36" customFormat="1" ht="12.75" hidden="1"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</row>
    <row r="363" spans="67:86" s="36" customFormat="1" ht="12.75" hidden="1"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</row>
    <row r="364" spans="67:86" s="36" customFormat="1" ht="12.75" hidden="1"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</row>
    <row r="365" spans="67:86" s="36" customFormat="1" ht="12.75" hidden="1"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</row>
    <row r="366" spans="67:86" s="36" customFormat="1" ht="12.75" hidden="1"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</row>
    <row r="367" spans="67:86" s="36" customFormat="1" ht="12.75" hidden="1"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</row>
    <row r="368" spans="67:86" s="36" customFormat="1" ht="12.75" hidden="1"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</row>
    <row r="369" spans="67:86" s="36" customFormat="1" ht="12.75" hidden="1"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</row>
    <row r="370" spans="67:86" s="36" customFormat="1" ht="12.75" hidden="1"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</row>
    <row r="371" spans="67:86" s="36" customFormat="1" ht="12.75" hidden="1"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</row>
    <row r="372" spans="67:86" s="36" customFormat="1" ht="12.75" hidden="1"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</row>
    <row r="373" spans="67:86" s="36" customFormat="1" ht="12.75" hidden="1"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</row>
    <row r="374" spans="67:86" s="36" customFormat="1" ht="12.75" hidden="1"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</row>
    <row r="375" spans="67:86" s="36" customFormat="1" ht="12.75" hidden="1"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</row>
    <row r="376" spans="67:86" s="36" customFormat="1" ht="12.75" hidden="1"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</row>
    <row r="377" spans="67:86" s="36" customFormat="1" ht="12.75" hidden="1"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</row>
    <row r="378" spans="67:86" s="36" customFormat="1" ht="12.75" hidden="1"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</row>
    <row r="379" spans="67:86" s="36" customFormat="1" ht="12.75" hidden="1"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</row>
    <row r="380" spans="67:86" s="36" customFormat="1" ht="12.75" hidden="1"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</row>
    <row r="381" spans="67:86" s="36" customFormat="1" ht="12.75" hidden="1"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</row>
    <row r="382" spans="67:86" s="36" customFormat="1" ht="12.75" hidden="1"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</row>
    <row r="383" spans="67:86" s="36" customFormat="1" ht="12.75" hidden="1"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</row>
    <row r="384" spans="67:86" s="36" customFormat="1" ht="12.75" hidden="1"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</row>
    <row r="385" spans="67:86" s="36" customFormat="1" ht="12.75" hidden="1"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</row>
    <row r="386" spans="67:86" s="36" customFormat="1" ht="12.75" hidden="1"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</row>
    <row r="387" spans="67:86" s="36" customFormat="1" ht="12.75" hidden="1"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</row>
    <row r="388" spans="67:86" s="36" customFormat="1" ht="12.75" hidden="1"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</row>
    <row r="389" spans="67:86" s="36" customFormat="1" ht="12.75" hidden="1"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</row>
    <row r="390" spans="67:86" s="36" customFormat="1" ht="12.75" hidden="1"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</row>
    <row r="391" spans="67:86" s="36" customFormat="1" ht="12.75" hidden="1"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</row>
    <row r="392" spans="67:86" s="36" customFormat="1" ht="12.75" hidden="1"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</row>
    <row r="393" spans="67:86" s="36" customFormat="1" ht="12.75" hidden="1"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</row>
    <row r="394" spans="67:86" s="36" customFormat="1" ht="12.75" hidden="1"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</row>
    <row r="395" spans="67:86" s="36" customFormat="1" ht="12.75" hidden="1"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</row>
    <row r="396" spans="2:86" s="36" customFormat="1" ht="12.75" hidden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</row>
    <row r="397" spans="2:86" s="36" customFormat="1" ht="12.75" hidden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</row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</sheetData>
  <sheetProtection sheet="1" scenarios="1" selectLockedCells="1"/>
  <mergeCells count="408">
    <mergeCell ref="AW14:BA14"/>
    <mergeCell ref="J99:K99"/>
    <mergeCell ref="J98:K98"/>
    <mergeCell ref="B14:G14"/>
    <mergeCell ref="H14:K14"/>
    <mergeCell ref="U14:V14"/>
    <mergeCell ref="X14:AB14"/>
    <mergeCell ref="J105:K105"/>
    <mergeCell ref="J104:K104"/>
    <mergeCell ref="J103:K103"/>
    <mergeCell ref="J102:K102"/>
    <mergeCell ref="J101:K101"/>
    <mergeCell ref="J100:K100"/>
    <mergeCell ref="BE85:BH85"/>
    <mergeCell ref="L105:AF105"/>
    <mergeCell ref="L104:AF104"/>
    <mergeCell ref="L103:AF103"/>
    <mergeCell ref="L102:AF102"/>
    <mergeCell ref="L101:AF101"/>
    <mergeCell ref="L100:AF100"/>
    <mergeCell ref="L99:AF99"/>
    <mergeCell ref="L98:AF98"/>
    <mergeCell ref="BE84:BH84"/>
    <mergeCell ref="C81:D82"/>
    <mergeCell ref="E81:H82"/>
    <mergeCell ref="BE89:BH89"/>
    <mergeCell ref="AZ88:BD88"/>
    <mergeCell ref="I82:AC82"/>
    <mergeCell ref="AZ84:BD84"/>
    <mergeCell ref="E88:H88"/>
    <mergeCell ref="AZ92:BD92"/>
    <mergeCell ref="BC30:BE30"/>
    <mergeCell ref="BC33:BE33"/>
    <mergeCell ref="AZ74:BD74"/>
    <mergeCell ref="E72:H72"/>
    <mergeCell ref="H34:K34"/>
    <mergeCell ref="E73:H74"/>
    <mergeCell ref="BC73:BD73"/>
    <mergeCell ref="E30:G30"/>
    <mergeCell ref="H33:K33"/>
    <mergeCell ref="H30:K30"/>
    <mergeCell ref="H26:K26"/>
    <mergeCell ref="X70:AB70"/>
    <mergeCell ref="AC70:AH70"/>
    <mergeCell ref="AI70:AM70"/>
    <mergeCell ref="L28:AF28"/>
    <mergeCell ref="L27:AF27"/>
    <mergeCell ref="H29:K29"/>
    <mergeCell ref="H28:K28"/>
    <mergeCell ref="H27:K27"/>
    <mergeCell ref="L29:AF29"/>
    <mergeCell ref="BF31:BG31"/>
    <mergeCell ref="BF32:BG32"/>
    <mergeCell ref="E76:H76"/>
    <mergeCell ref="L32:AF32"/>
    <mergeCell ref="AH36:BB36"/>
    <mergeCell ref="H35:K35"/>
    <mergeCell ref="L34:AF34"/>
    <mergeCell ref="L35:AF35"/>
    <mergeCell ref="BC32:BE32"/>
    <mergeCell ref="BF35:BG35"/>
    <mergeCell ref="AH35:BB35"/>
    <mergeCell ref="AZ93:BB93"/>
    <mergeCell ref="AZ94:BD94"/>
    <mergeCell ref="AZ90:BD90"/>
    <mergeCell ref="AZ89:BB89"/>
    <mergeCell ref="BC89:BD89"/>
    <mergeCell ref="AE94:AY94"/>
    <mergeCell ref="I80:AY80"/>
    <mergeCell ref="I72:AY72"/>
    <mergeCell ref="E93:H94"/>
    <mergeCell ref="E92:H92"/>
    <mergeCell ref="E89:H90"/>
    <mergeCell ref="E77:H78"/>
    <mergeCell ref="BE94:BH94"/>
    <mergeCell ref="BE93:BH93"/>
    <mergeCell ref="BE92:BH92"/>
    <mergeCell ref="BE90:BH90"/>
    <mergeCell ref="BE88:BH88"/>
    <mergeCell ref="BE86:BH86"/>
    <mergeCell ref="C65:F65"/>
    <mergeCell ref="C64:F64"/>
    <mergeCell ref="BC93:BD93"/>
    <mergeCell ref="K63:L63"/>
    <mergeCell ref="AZ80:BD80"/>
    <mergeCell ref="AZ81:BB81"/>
    <mergeCell ref="BC81:BD81"/>
    <mergeCell ref="AZ76:BD76"/>
    <mergeCell ref="I77:AC77"/>
    <mergeCell ref="I78:AC78"/>
    <mergeCell ref="K52:L52"/>
    <mergeCell ref="BE82:BH82"/>
    <mergeCell ref="BE81:BH81"/>
    <mergeCell ref="BE80:BH80"/>
    <mergeCell ref="K51:L51"/>
    <mergeCell ref="I73:AC73"/>
    <mergeCell ref="BE78:BH78"/>
    <mergeCell ref="I74:AC74"/>
    <mergeCell ref="AE77:AY77"/>
    <mergeCell ref="AE73:AY73"/>
    <mergeCell ref="I88:AY88"/>
    <mergeCell ref="E85:H86"/>
    <mergeCell ref="E80:H80"/>
    <mergeCell ref="I85:AC85"/>
    <mergeCell ref="K50:L50"/>
    <mergeCell ref="C61:F61"/>
    <mergeCell ref="G61:I61"/>
    <mergeCell ref="K61:AG61"/>
    <mergeCell ref="C52:F52"/>
    <mergeCell ref="C50:F50"/>
    <mergeCell ref="AZ73:BB73"/>
    <mergeCell ref="AZ78:BD78"/>
    <mergeCell ref="BC77:BD77"/>
    <mergeCell ref="AZ77:BB77"/>
    <mergeCell ref="I76:AY76"/>
    <mergeCell ref="I81:AC81"/>
    <mergeCell ref="AE74:AY74"/>
    <mergeCell ref="AZ85:BB85"/>
    <mergeCell ref="BC85:BD85"/>
    <mergeCell ref="AZ86:BD86"/>
    <mergeCell ref="K49:L49"/>
    <mergeCell ref="AW64:AY64"/>
    <mergeCell ref="AZ82:BD82"/>
    <mergeCell ref="AE85:AY85"/>
    <mergeCell ref="AE81:AY81"/>
    <mergeCell ref="I84:AY84"/>
    <mergeCell ref="AE82:AY82"/>
    <mergeCell ref="G49:I49"/>
    <mergeCell ref="G64:I64"/>
    <mergeCell ref="G63:I63"/>
    <mergeCell ref="G62:I62"/>
    <mergeCell ref="G52:I52"/>
    <mergeCell ref="G51:I51"/>
    <mergeCell ref="G50:I50"/>
    <mergeCell ref="C60:I60"/>
    <mergeCell ref="C62:F62"/>
    <mergeCell ref="C49:F49"/>
    <mergeCell ref="AW65:AY65"/>
    <mergeCell ref="BN65:BP65"/>
    <mergeCell ref="BK62:BM62"/>
    <mergeCell ref="BI62:BJ62"/>
    <mergeCell ref="BF62:BG62"/>
    <mergeCell ref="BN63:BP63"/>
    <mergeCell ref="BN64:BP64"/>
    <mergeCell ref="BF63:BG63"/>
    <mergeCell ref="BI64:BJ64"/>
    <mergeCell ref="BF64:BG64"/>
    <mergeCell ref="BK61:BM61"/>
    <mergeCell ref="BI51:BJ51"/>
    <mergeCell ref="BF52:BG52"/>
    <mergeCell ref="BN52:BP52"/>
    <mergeCell ref="BN61:BP61"/>
    <mergeCell ref="BF61:BJ61"/>
    <mergeCell ref="BI52:BJ52"/>
    <mergeCell ref="BK52:BM52"/>
    <mergeCell ref="BK51:BM51"/>
    <mergeCell ref="BC52:BE52"/>
    <mergeCell ref="AZ49:BB49"/>
    <mergeCell ref="AZ52:BB52"/>
    <mergeCell ref="BC51:BE51"/>
    <mergeCell ref="BC50:BE50"/>
    <mergeCell ref="BC49:BE49"/>
    <mergeCell ref="AZ50:BB50"/>
    <mergeCell ref="AZ51:BB51"/>
    <mergeCell ref="BN50:BP50"/>
    <mergeCell ref="AW49:AY49"/>
    <mergeCell ref="AW51:AY51"/>
    <mergeCell ref="AT49:AV49"/>
    <mergeCell ref="AW50:AY50"/>
    <mergeCell ref="AT50:AV50"/>
    <mergeCell ref="AT51:AV51"/>
    <mergeCell ref="BN51:BP51"/>
    <mergeCell ref="AT48:AV48"/>
    <mergeCell ref="AW48:AY48"/>
    <mergeCell ref="AZ48:BB48"/>
    <mergeCell ref="BC48:BE48"/>
    <mergeCell ref="BK49:BM49"/>
    <mergeCell ref="BK50:BM50"/>
    <mergeCell ref="BN62:BP62"/>
    <mergeCell ref="BN48:BP48"/>
    <mergeCell ref="BF48:BJ48"/>
    <mergeCell ref="BK48:BM48"/>
    <mergeCell ref="BI49:BJ49"/>
    <mergeCell ref="BI50:BJ50"/>
    <mergeCell ref="BF50:BG50"/>
    <mergeCell ref="BF51:BG51"/>
    <mergeCell ref="BN49:BP49"/>
    <mergeCell ref="BF49:BG49"/>
    <mergeCell ref="AW61:AY61"/>
    <mergeCell ref="AW62:AY62"/>
    <mergeCell ref="AW63:AY63"/>
    <mergeCell ref="AT52:AV52"/>
    <mergeCell ref="AT61:AV61"/>
    <mergeCell ref="AW52:AY52"/>
    <mergeCell ref="BE72:BH72"/>
    <mergeCell ref="C63:F63"/>
    <mergeCell ref="E35:G35"/>
    <mergeCell ref="C36:D36"/>
    <mergeCell ref="C38:D38"/>
    <mergeCell ref="C37:D37"/>
    <mergeCell ref="E37:G37"/>
    <mergeCell ref="E36:G36"/>
    <mergeCell ref="H37:K37"/>
    <mergeCell ref="H36:K36"/>
    <mergeCell ref="K65:L65"/>
    <mergeCell ref="AT62:AV62"/>
    <mergeCell ref="AT63:AV63"/>
    <mergeCell ref="G65:I65"/>
    <mergeCell ref="AN62:AP62"/>
    <mergeCell ref="AK65:AM65"/>
    <mergeCell ref="AK62:AM62"/>
    <mergeCell ref="AK64:AM64"/>
    <mergeCell ref="AK63:AM63"/>
    <mergeCell ref="K64:L64"/>
    <mergeCell ref="BC61:BE61"/>
    <mergeCell ref="BC65:BE65"/>
    <mergeCell ref="AZ65:BB65"/>
    <mergeCell ref="AZ62:BB62"/>
    <mergeCell ref="BC62:BE62"/>
    <mergeCell ref="BC63:BE63"/>
    <mergeCell ref="AZ64:BB64"/>
    <mergeCell ref="AZ61:BB61"/>
    <mergeCell ref="BK65:BM65"/>
    <mergeCell ref="AT65:AV65"/>
    <mergeCell ref="BI63:BJ63"/>
    <mergeCell ref="BK64:BM64"/>
    <mergeCell ref="AT64:AV64"/>
    <mergeCell ref="BC64:BE64"/>
    <mergeCell ref="AZ63:BB63"/>
    <mergeCell ref="BI65:BJ65"/>
    <mergeCell ref="BF65:BG65"/>
    <mergeCell ref="BK63:BM63"/>
    <mergeCell ref="E32:G32"/>
    <mergeCell ref="E34:G34"/>
    <mergeCell ref="AH29:BB29"/>
    <mergeCell ref="AH32:BB32"/>
    <mergeCell ref="H31:K31"/>
    <mergeCell ref="AH31:BB31"/>
    <mergeCell ref="AH30:BB30"/>
    <mergeCell ref="H32:K32"/>
    <mergeCell ref="L30:AF30"/>
    <mergeCell ref="AH34:BB34"/>
    <mergeCell ref="L36:AF36"/>
    <mergeCell ref="H70:K70"/>
    <mergeCell ref="AN70:AV70"/>
    <mergeCell ref="AW70:BA70"/>
    <mergeCell ref="AC18:AW18"/>
    <mergeCell ref="D18:X18"/>
    <mergeCell ref="L26:BB26"/>
    <mergeCell ref="U70:V70"/>
    <mergeCell ref="E33:G33"/>
    <mergeCell ref="E31:G31"/>
    <mergeCell ref="C33:D33"/>
    <mergeCell ref="C72:D72"/>
    <mergeCell ref="C34:D34"/>
    <mergeCell ref="C35:D35"/>
    <mergeCell ref="C32:D32"/>
    <mergeCell ref="AH33:BB33"/>
    <mergeCell ref="L33:AF33"/>
    <mergeCell ref="H38:K38"/>
    <mergeCell ref="L38:AF38"/>
    <mergeCell ref="L37:AF37"/>
    <mergeCell ref="C26:D26"/>
    <mergeCell ref="E26:G26"/>
    <mergeCell ref="C89:D90"/>
    <mergeCell ref="B70:G70"/>
    <mergeCell ref="C77:D78"/>
    <mergeCell ref="E38:G38"/>
    <mergeCell ref="C84:D84"/>
    <mergeCell ref="E28:G28"/>
    <mergeCell ref="C29:D29"/>
    <mergeCell ref="E29:G29"/>
    <mergeCell ref="I92:AY92"/>
    <mergeCell ref="C93:D94"/>
    <mergeCell ref="C92:D92"/>
    <mergeCell ref="C76:D76"/>
    <mergeCell ref="C73:D74"/>
    <mergeCell ref="C88:D88"/>
    <mergeCell ref="C80:D80"/>
    <mergeCell ref="C85:D86"/>
    <mergeCell ref="AE78:AY78"/>
    <mergeCell ref="E84:H84"/>
    <mergeCell ref="BF37:BG37"/>
    <mergeCell ref="I94:AC94"/>
    <mergeCell ref="AE90:AY90"/>
    <mergeCell ref="I90:AC90"/>
    <mergeCell ref="AE86:AY86"/>
    <mergeCell ref="I86:AC86"/>
    <mergeCell ref="AE93:AY93"/>
    <mergeCell ref="AE89:AY89"/>
    <mergeCell ref="I93:AC93"/>
    <mergeCell ref="I89:AC89"/>
    <mergeCell ref="BF28:BG28"/>
    <mergeCell ref="BC31:BE31"/>
    <mergeCell ref="BF33:BG33"/>
    <mergeCell ref="AH37:BB37"/>
    <mergeCell ref="AH38:BB38"/>
    <mergeCell ref="BC36:BE36"/>
    <mergeCell ref="BF36:BG36"/>
    <mergeCell ref="BC37:BE37"/>
    <mergeCell ref="BF38:BG38"/>
    <mergeCell ref="BC38:BE38"/>
    <mergeCell ref="C51:F51"/>
    <mergeCell ref="C47:I47"/>
    <mergeCell ref="G48:I48"/>
    <mergeCell ref="C48:F48"/>
    <mergeCell ref="BC26:BG26"/>
    <mergeCell ref="BC27:BE27"/>
    <mergeCell ref="BC28:BE28"/>
    <mergeCell ref="BF29:BG29"/>
    <mergeCell ref="BF27:BG27"/>
    <mergeCell ref="BC29:BE29"/>
    <mergeCell ref="AH28:BB28"/>
    <mergeCell ref="AH27:BB27"/>
    <mergeCell ref="L31:AF31"/>
    <mergeCell ref="C28:D28"/>
    <mergeCell ref="C27:D27"/>
    <mergeCell ref="E27:G27"/>
    <mergeCell ref="C30:D30"/>
    <mergeCell ref="C31:D31"/>
    <mergeCell ref="C8:AU8"/>
    <mergeCell ref="C4:AU4"/>
    <mergeCell ref="C3:AU3"/>
    <mergeCell ref="C2:AU2"/>
    <mergeCell ref="C6:AU6"/>
    <mergeCell ref="D22:X22"/>
    <mergeCell ref="D21:X21"/>
    <mergeCell ref="D20:X20"/>
    <mergeCell ref="D19:X19"/>
    <mergeCell ref="AC14:AH14"/>
    <mergeCell ref="AH50:AJ50"/>
    <mergeCell ref="AH49:AJ49"/>
    <mergeCell ref="AH65:AJ65"/>
    <mergeCell ref="AH64:AJ64"/>
    <mergeCell ref="AH63:AJ63"/>
    <mergeCell ref="AH62:AJ62"/>
    <mergeCell ref="AH54:AJ61"/>
    <mergeCell ref="AH52:AJ52"/>
    <mergeCell ref="AH51:AJ51"/>
    <mergeCell ref="AQ49:AS49"/>
    <mergeCell ref="AN49:AP49"/>
    <mergeCell ref="AK49:AM49"/>
    <mergeCell ref="AQ65:AS65"/>
    <mergeCell ref="AQ64:AS64"/>
    <mergeCell ref="AQ63:AS63"/>
    <mergeCell ref="AQ62:AS62"/>
    <mergeCell ref="AN65:AP65"/>
    <mergeCell ref="AN64:AP64"/>
    <mergeCell ref="AN63:AP63"/>
    <mergeCell ref="AK41:AM48"/>
    <mergeCell ref="AK52:AM52"/>
    <mergeCell ref="AK51:AM51"/>
    <mergeCell ref="AK50:AM50"/>
    <mergeCell ref="AQ50:AS50"/>
    <mergeCell ref="AN52:AP52"/>
    <mergeCell ref="AN51:AP51"/>
    <mergeCell ref="AN50:AP50"/>
    <mergeCell ref="AQ52:AS52"/>
    <mergeCell ref="AQ51:AS51"/>
    <mergeCell ref="M51:AG51"/>
    <mergeCell ref="M50:AG50"/>
    <mergeCell ref="M49:AG49"/>
    <mergeCell ref="K62:L62"/>
    <mergeCell ref="AH41:AJ48"/>
    <mergeCell ref="AQ54:AS61"/>
    <mergeCell ref="AN54:AP61"/>
    <mergeCell ref="AK54:AM61"/>
    <mergeCell ref="AQ41:AS48"/>
    <mergeCell ref="AN41:AP48"/>
    <mergeCell ref="BF30:BG30"/>
    <mergeCell ref="BC34:BE34"/>
    <mergeCell ref="BC35:BE35"/>
    <mergeCell ref="AZ72:BD72"/>
    <mergeCell ref="K48:AG48"/>
    <mergeCell ref="M65:AG65"/>
    <mergeCell ref="M64:AG64"/>
    <mergeCell ref="M63:AG63"/>
    <mergeCell ref="M62:AG62"/>
    <mergeCell ref="M52:AG52"/>
    <mergeCell ref="B11:G11"/>
    <mergeCell ref="H11:K11"/>
    <mergeCell ref="U11:V11"/>
    <mergeCell ref="X11:AB11"/>
    <mergeCell ref="AZ3:BG3"/>
    <mergeCell ref="BE77:BH77"/>
    <mergeCell ref="BE76:BH76"/>
    <mergeCell ref="BE74:BH74"/>
    <mergeCell ref="BE73:BH73"/>
    <mergeCell ref="BF34:BG34"/>
    <mergeCell ref="AC20:AW20"/>
    <mergeCell ref="AC19:AW19"/>
    <mergeCell ref="AC22:AW22"/>
    <mergeCell ref="AC21:AW21"/>
    <mergeCell ref="AC11:AH11"/>
    <mergeCell ref="AI11:AM11"/>
    <mergeCell ref="AN11:AV11"/>
    <mergeCell ref="AW11:BA11"/>
    <mergeCell ref="AI14:AM14"/>
    <mergeCell ref="AN14:AV14"/>
    <mergeCell ref="B116:AV116"/>
    <mergeCell ref="B112:AV112"/>
    <mergeCell ref="B113:AV113"/>
    <mergeCell ref="B114:AV114"/>
    <mergeCell ref="B115:AV115"/>
    <mergeCell ref="B108:AV108"/>
    <mergeCell ref="B109:AV109"/>
    <mergeCell ref="B110:AV110"/>
    <mergeCell ref="B111:AV111"/>
  </mergeCells>
  <conditionalFormatting sqref="I77 I89 I93 I73 I85 I81 L27:L38">
    <cfRule type="expression" priority="1" dxfId="34" stopIfTrue="1">
      <formula>AND(AZ27&gt;BC27,AZ27&lt;&gt;"",BC27&lt;&gt;"")</formula>
    </cfRule>
    <cfRule type="expression" priority="2" dxfId="33" stopIfTrue="1">
      <formula>AND(AZ27=BC27,AZ27&lt;&gt;"",BC27&lt;&gt;"")</formula>
    </cfRule>
    <cfRule type="expression" priority="3" dxfId="0" stopIfTrue="1">
      <formula>AND(AZ27&lt;BC27,AZ27&lt;&gt;"",BC27&lt;&gt;"")</formula>
    </cfRule>
  </conditionalFormatting>
  <conditionalFormatting sqref="AE77 AE89 AE93 AE73 AE85 AE81 AH27:AH38">
    <cfRule type="expression" priority="4" dxfId="34" stopIfTrue="1">
      <formula>AND(BC27&gt;AZ27,AZ27&lt;&gt;"",BC27&lt;&gt;"")</formula>
    </cfRule>
    <cfRule type="expression" priority="5" dxfId="33" stopIfTrue="1">
      <formula>AND(BC27=AZ27,AZ27&lt;&gt;"",BC27&lt;&gt;"")</formula>
    </cfRule>
    <cfRule type="expression" priority="6" dxfId="0" stopIfTrue="1">
      <formula>AND(BC27&lt;AZ27,AZ27&lt;&gt;"",BC27&lt;&gt;"")</formula>
    </cfRule>
  </conditionalFormatting>
  <conditionalFormatting sqref="BC27:BE38 AZ73:BB73 AZ77:BB77 AZ89:BB89 AZ93:BB93 AZ81:BB81 AZ85:BB85">
    <cfRule type="expression" priority="7" dxfId="75" stopIfTrue="1">
      <formula>AND(BC27&lt;&gt;"",ISBLANK(AZ27))</formula>
    </cfRule>
    <cfRule type="expression" priority="8" dxfId="39" stopIfTrue="1">
      <formula>ISBLANK(AZ27)</formula>
    </cfRule>
  </conditionalFormatting>
  <conditionalFormatting sqref="BF27:BG38 BC73:BD73 BC77:BD77 BC89:BD89 BC93:BD93 BC81:BD81 BC85:BD85">
    <cfRule type="expression" priority="9" dxfId="75" stopIfTrue="1">
      <formula>AND(AZ27&lt;&gt;"",ISBLANK(BC27))</formula>
    </cfRule>
    <cfRule type="expression" priority="10" dxfId="39" stopIfTrue="1">
      <formula>ISBLANK(BC27)</formula>
    </cfRule>
  </conditionalFormatting>
  <conditionalFormatting sqref="AT53:BP59 AH52:BP52 M53:M59">
    <cfRule type="expression" priority="11" dxfId="0" stopIfTrue="1">
      <formula>$K$52=""</formula>
    </cfRule>
  </conditionalFormatting>
  <conditionalFormatting sqref="AH49:BP49">
    <cfRule type="expression" priority="12" dxfId="0" stopIfTrue="1">
      <formula>$K$50=""</formula>
    </cfRule>
  </conditionalFormatting>
  <conditionalFormatting sqref="AH50:BP50">
    <cfRule type="expression" priority="13" dxfId="0" stopIfTrue="1">
      <formula>$K$50=""</formula>
    </cfRule>
    <cfRule type="expression" priority="14" dxfId="0" stopIfTrue="1">
      <formula>$K$51=""</formula>
    </cfRule>
  </conditionalFormatting>
  <conditionalFormatting sqref="AH51:BP51">
    <cfRule type="expression" priority="15" dxfId="0" stopIfTrue="1">
      <formula>$K$51=""</formula>
    </cfRule>
    <cfRule type="expression" priority="16" dxfId="0" stopIfTrue="1">
      <formula>$K$52=""</formula>
    </cfRule>
  </conditionalFormatting>
  <conditionalFormatting sqref="AH62:BP62">
    <cfRule type="expression" priority="17" dxfId="0" stopIfTrue="1">
      <formula>$K$63=""</formula>
    </cfRule>
  </conditionalFormatting>
  <conditionalFormatting sqref="AH63:BP63">
    <cfRule type="expression" priority="18" dxfId="0" stopIfTrue="1">
      <formula>$K$63=""</formula>
    </cfRule>
    <cfRule type="expression" priority="19" dxfId="0" stopIfTrue="1">
      <formula>$K$64=""</formula>
    </cfRule>
  </conditionalFormatting>
  <conditionalFormatting sqref="AH64:BP64">
    <cfRule type="expression" priority="20" dxfId="0" stopIfTrue="1">
      <formula>$K$64=""</formula>
    </cfRule>
    <cfRule type="expression" priority="21" dxfId="0" stopIfTrue="1">
      <formula>$K$65=""</formula>
    </cfRule>
  </conditionalFormatting>
  <conditionalFormatting sqref="AH65:BP65">
    <cfRule type="expression" priority="22" dxfId="0" stopIfTrue="1">
      <formula>$K$65=""</formula>
    </cfRule>
  </conditionalFormatting>
  <conditionalFormatting sqref="M49">
    <cfRule type="expression" priority="23" dxfId="1" stopIfTrue="1">
      <formula>$AT$49=""</formula>
    </cfRule>
    <cfRule type="expression" priority="24" dxfId="0" stopIfTrue="1">
      <formula>$K$50=""</formula>
    </cfRule>
  </conditionalFormatting>
  <conditionalFormatting sqref="M50">
    <cfRule type="expression" priority="25" dxfId="1" stopIfTrue="1">
      <formula>$AT$50=""</formula>
    </cfRule>
    <cfRule type="expression" priority="26" dxfId="0" stopIfTrue="1">
      <formula>$K$50=""</formula>
    </cfRule>
    <cfRule type="expression" priority="27" dxfId="0" stopIfTrue="1">
      <formula>$K$51=""</formula>
    </cfRule>
  </conditionalFormatting>
  <conditionalFormatting sqref="M51">
    <cfRule type="expression" priority="28" dxfId="1" stopIfTrue="1">
      <formula>$AT$51=""</formula>
    </cfRule>
    <cfRule type="expression" priority="29" dxfId="0" stopIfTrue="1">
      <formula>$K$51=""</formula>
    </cfRule>
    <cfRule type="expression" priority="30" dxfId="0" stopIfTrue="1">
      <formula>$K$52=""</formula>
    </cfRule>
  </conditionalFormatting>
  <conditionalFormatting sqref="M52">
    <cfRule type="expression" priority="31" dxfId="1" stopIfTrue="1">
      <formula>$AT$52=""</formula>
    </cfRule>
    <cfRule type="expression" priority="32" dxfId="0" stopIfTrue="1">
      <formula>$K$52=""</formula>
    </cfRule>
  </conditionalFormatting>
  <conditionalFormatting sqref="M62">
    <cfRule type="expression" priority="33" dxfId="1" stopIfTrue="1">
      <formula>$AT$62=""</formula>
    </cfRule>
    <cfRule type="expression" priority="34" dxfId="0" stopIfTrue="1">
      <formula>$K$63=""</formula>
    </cfRule>
  </conditionalFormatting>
  <conditionalFormatting sqref="M63">
    <cfRule type="expression" priority="35" dxfId="1" stopIfTrue="1">
      <formula>$AT$63=""</formula>
    </cfRule>
    <cfRule type="expression" priority="36" dxfId="0" stopIfTrue="1">
      <formula>$K$63=""</formula>
    </cfRule>
    <cfRule type="expression" priority="37" dxfId="0" stopIfTrue="1">
      <formula>$K$64=""</formula>
    </cfRule>
  </conditionalFormatting>
  <conditionalFormatting sqref="M64">
    <cfRule type="expression" priority="38" dxfId="1" stopIfTrue="1">
      <formula>$AT$64=""</formula>
    </cfRule>
    <cfRule type="expression" priority="39" dxfId="0" stopIfTrue="1">
      <formula>$K$64=""</formula>
    </cfRule>
    <cfRule type="expression" priority="40" dxfId="0" stopIfTrue="1">
      <formula>$K$65=""</formula>
    </cfRule>
  </conditionalFormatting>
  <conditionalFormatting sqref="M65">
    <cfRule type="expression" priority="41" dxfId="1" stopIfTrue="1">
      <formula>$AT$65=""</formula>
    </cfRule>
    <cfRule type="expression" priority="42" dxfId="0" stopIfTrue="1">
      <formula>$K$65=""</formula>
    </cfRule>
  </conditionalFormatting>
  <conditionalFormatting sqref="K49:L52">
    <cfRule type="expression" priority="43" dxfId="40" stopIfTrue="1">
      <formula>#REF!&lt;&gt;#REF!</formula>
    </cfRule>
  </conditionalFormatting>
  <conditionalFormatting sqref="K62:L65">
    <cfRule type="expression" priority="44" dxfId="40" stopIfTrue="1">
      <formula>#REF!&lt;&gt;#REF!</formula>
    </cfRule>
  </conditionalFormatting>
  <conditionalFormatting sqref="AI11:AM11 AI14:AM14">
    <cfRule type="expression" priority="45" dxfId="39" stopIfTrue="1">
      <formula>AND($U$11=2,ISBLANK($AI$11))</formula>
    </cfRule>
    <cfRule type="expression" priority="46" dxfId="0" stopIfTrue="1">
      <formula>$AC$11=""</formula>
    </cfRule>
  </conditionalFormatting>
  <dataValidations count="4">
    <dataValidation type="list" allowBlank="1" showInputMessage="1" showErrorMessage="1" sqref="BE73:BH73 C49:F52 C62:F65 BE93:BH93 BE89:BH89 BE85:BH85 BE81:BH81 BE77:BH77">
      <formula1>$Y$18:$Y$21</formula1>
    </dataValidation>
    <dataValidation type="whole" operator="greaterThanOrEqual" allowBlank="1" showErrorMessage="1" errorTitle="Fehler" error="Nur Zahlen eingeben!" sqref="X70:AB70 BC27:BG38 AW11:BA15 X11:AB15 AI11:AM15 AW70:BA70 AZ89:BD89 AZ85:BD85 AZ81:BD81 AZ73:BD73 AZ77:BD77 AZ93:BD93">
      <formula1>0</formula1>
    </dataValidation>
    <dataValidation type="whole" allowBlank="1" showErrorMessage="1" errorTitle="Zahlen" error="Nur Zahleneingabe möglich" sqref="AZ94 AZ82 AZ86:AZ87 AZ78:AZ79 AZ74 AZ90">
      <formula1>0</formula1>
      <formula2>100</formula2>
    </dataValidation>
    <dataValidation type="list" allowBlank="1" showInputMessage="1" showErrorMessage="1" sqref="U11:V15">
      <formula1>$C$27:$C$28</formula1>
    </dataValidation>
  </dataValidations>
  <printOptions gridLines="1" horizontalCentered="1"/>
  <pageMargins left="0.3937007874015748" right="0.3937007874015748" top="0.1968503937007874" bottom="0.1968503937007874" header="0" footer="0"/>
  <pageSetup horizontalDpi="600" verticalDpi="600" orientation="landscape" pageOrder="overThenDown" paperSize="9" scale="65" r:id="rId4"/>
  <headerFooter alignWithMargins="0">
    <oddFooter xml:space="preserve">&amp;R&amp;P von &amp;N </oddFooter>
  </headerFooter>
  <rowBreaks count="2" manualBreakCount="2">
    <brk id="38" max="68" man="1"/>
    <brk id="94" max="6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Y119"/>
  <sheetViews>
    <sheetView showGridLines="0" showRowColHeaders="0" zoomScaleSheetLayoutView="100" zoomScalePageLayoutView="0" workbookViewId="0" topLeftCell="A85">
      <selection activeCell="AW3" sqref="AW3:BD3"/>
    </sheetView>
  </sheetViews>
  <sheetFormatPr defaultColWidth="0" defaultRowHeight="12.75" zeroHeight="1"/>
  <cols>
    <col min="1" max="67" width="2.140625" style="1" customWidth="1"/>
    <col min="68" max="68" width="2.140625" style="2" customWidth="1"/>
    <col min="69" max="72" width="2.140625" style="2" hidden="1" customWidth="1"/>
    <col min="73" max="73" width="2.140625" style="3" hidden="1" customWidth="1"/>
    <col min="74" max="76" width="2.140625" style="4" hidden="1" customWidth="1"/>
    <col min="77" max="77" width="2.140625" style="3" hidden="1" customWidth="1"/>
    <col min="78" max="82" width="2.140625" style="4" hidden="1" customWidth="1"/>
    <col min="83" max="87" width="2.140625" style="2" hidden="1" customWidth="1"/>
    <col min="88" max="91" width="2.140625" style="5" hidden="1" customWidth="1"/>
    <col min="92" max="16384" width="2.140625" style="1" hidden="1" customWidth="1"/>
  </cols>
  <sheetData>
    <row r="1" ht="7.5" customHeight="1"/>
    <row r="2" spans="2:60" ht="33.75">
      <c r="B2" s="519">
        <f>Ergebniseingabe!C2</f>
        <v>0</v>
      </c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19"/>
      <c r="AO2" s="519"/>
      <c r="AP2" s="519"/>
      <c r="AQ2" s="519"/>
      <c r="AR2" s="519"/>
      <c r="AS2" s="519"/>
      <c r="AT2" s="519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87" s="7" customFormat="1" ht="27">
      <c r="B3" s="499" t="str">
        <f>Ergebniseingabe!C3</f>
        <v>2. Test-Checker-Cup 2010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499"/>
      <c r="AG3" s="499"/>
      <c r="AH3" s="499"/>
      <c r="AI3" s="499"/>
      <c r="AJ3" s="499"/>
      <c r="AK3" s="499"/>
      <c r="AL3" s="499"/>
      <c r="AM3" s="499"/>
      <c r="AN3" s="499"/>
      <c r="AO3" s="499"/>
      <c r="AP3" s="499"/>
      <c r="AQ3" s="499"/>
      <c r="AR3" s="499"/>
      <c r="AS3" s="499"/>
      <c r="AT3" s="499"/>
      <c r="AW3" s="212" t="s">
        <v>61</v>
      </c>
      <c r="AX3" s="212"/>
      <c r="AY3" s="212"/>
      <c r="AZ3" s="212"/>
      <c r="BA3" s="212"/>
      <c r="BB3" s="212"/>
      <c r="BC3" s="212"/>
      <c r="BD3" s="212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2:87" s="11" customFormat="1" ht="15">
      <c r="B4" s="641" t="str">
        <f>Ergebniseingabe!C4</f>
        <v>Fußballturnier für - 2 X 4 - Mannschaften</v>
      </c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1"/>
      <c r="AI4" s="641"/>
      <c r="AJ4" s="641"/>
      <c r="AK4" s="641"/>
      <c r="AL4" s="641"/>
      <c r="AM4" s="641"/>
      <c r="AN4" s="641"/>
      <c r="AO4" s="641"/>
      <c r="AP4" s="641"/>
      <c r="AQ4" s="641"/>
      <c r="AR4" s="641"/>
      <c r="AS4" s="641"/>
      <c r="AT4" s="641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43:87" s="11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2:87" s="17" customFormat="1" ht="13.5">
      <c r="B6" s="638">
        <f>Ergebniseingabe!C6</f>
        <v>42176</v>
      </c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8"/>
      <c r="N6" s="638"/>
      <c r="O6" s="638"/>
      <c r="P6" s="638"/>
      <c r="Q6" s="638"/>
      <c r="R6" s="638"/>
      <c r="S6" s="638"/>
      <c r="T6" s="638"/>
      <c r="U6" s="638"/>
      <c r="V6" s="638"/>
      <c r="W6" s="638"/>
      <c r="X6" s="638"/>
      <c r="Y6" s="638"/>
      <c r="Z6" s="638"/>
      <c r="AA6" s="638"/>
      <c r="AB6" s="638"/>
      <c r="AC6" s="638"/>
      <c r="AD6" s="638"/>
      <c r="AE6" s="638"/>
      <c r="AF6" s="638"/>
      <c r="AG6" s="638"/>
      <c r="AH6" s="638"/>
      <c r="AI6" s="638"/>
      <c r="AJ6" s="638"/>
      <c r="AK6" s="638"/>
      <c r="AL6" s="638"/>
      <c r="AM6" s="638"/>
      <c r="AN6" s="638"/>
      <c r="AO6" s="638"/>
      <c r="AP6" s="638"/>
      <c r="AQ6" s="638"/>
      <c r="AR6" s="638"/>
      <c r="AS6" s="638"/>
      <c r="AT6" s="638"/>
      <c r="AU6" s="16"/>
      <c r="AV6" s="16"/>
      <c r="AW6" s="16"/>
      <c r="AX6" s="16"/>
      <c r="AY6" s="16"/>
      <c r="AZ6" s="16"/>
      <c r="BA6" s="16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43:87" s="11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2:87" s="22" customFormat="1" ht="13.5">
      <c r="B8" s="640" t="str">
        <f>Ergebniseingabe!C8</f>
        <v>an der Hardtbrücke</v>
      </c>
      <c r="C8" s="640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40"/>
      <c r="AN8" s="640"/>
      <c r="AO8" s="640"/>
      <c r="AP8" s="640"/>
      <c r="AQ8" s="640"/>
      <c r="AR8" s="640"/>
      <c r="AS8" s="640"/>
      <c r="AT8" s="640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P8" s="23"/>
      <c r="BQ8" s="23"/>
      <c r="BR8" s="23"/>
      <c r="BS8" s="23"/>
      <c r="BT8" s="23"/>
      <c r="BU8" s="24"/>
      <c r="BV8" s="25"/>
      <c r="BW8" s="25"/>
      <c r="BX8" s="25"/>
      <c r="BY8" s="24"/>
      <c r="BZ8" s="25"/>
      <c r="CA8" s="25"/>
      <c r="CB8" s="25"/>
      <c r="CC8" s="25"/>
      <c r="CD8" s="25"/>
      <c r="CE8" s="23"/>
      <c r="CF8" s="23"/>
      <c r="CG8" s="23"/>
      <c r="CH8" s="23"/>
      <c r="CI8" s="23"/>
    </row>
    <row r="9" spans="68:87" s="11" customFormat="1" ht="6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7" customFormat="1" ht="13.5">
      <c r="A10" s="208" t="s">
        <v>62</v>
      </c>
      <c r="B10" s="208"/>
      <c r="C10" s="208"/>
      <c r="D10" s="208"/>
      <c r="E10" s="208"/>
      <c r="F10" s="208"/>
      <c r="G10" s="423">
        <f>Ergebniseingabe!H11</f>
        <v>0.5416666666666666</v>
      </c>
      <c r="H10" s="423"/>
      <c r="I10" s="423"/>
      <c r="J10" s="423"/>
      <c r="K10" s="17" t="s">
        <v>0</v>
      </c>
      <c r="S10" s="45" t="s">
        <v>1</v>
      </c>
      <c r="T10" s="424">
        <f>Ergebniseingabe!U11</f>
        <v>1</v>
      </c>
      <c r="U10" s="424"/>
      <c r="V10" s="46" t="s">
        <v>2</v>
      </c>
      <c r="W10" s="421">
        <f>Ergebniseingabe!X11</f>
        <v>10</v>
      </c>
      <c r="X10" s="421"/>
      <c r="Y10" s="421"/>
      <c r="Z10" s="421"/>
      <c r="AA10" s="421"/>
      <c r="AB10" s="206">
        <f>IF(T10=2,"Halbzeit:","")</f>
      </c>
      <c r="AC10" s="206"/>
      <c r="AD10" s="206"/>
      <c r="AE10" s="206"/>
      <c r="AF10" s="206"/>
      <c r="AG10" s="206"/>
      <c r="AH10" s="421">
        <f>IF(Ergebniseingabe!AI11="","",Ergebniseingabe!AI11)</f>
      </c>
      <c r="AI10" s="421"/>
      <c r="AJ10" s="421"/>
      <c r="AK10" s="421"/>
      <c r="AL10" s="421"/>
      <c r="AM10" s="208" t="s">
        <v>3</v>
      </c>
      <c r="AN10" s="208"/>
      <c r="AO10" s="208"/>
      <c r="AP10" s="208"/>
      <c r="AQ10" s="208"/>
      <c r="AR10" s="208"/>
      <c r="AS10" s="208"/>
      <c r="AT10" s="208"/>
      <c r="AU10" s="208"/>
      <c r="AV10" s="422">
        <f>Ergebniseingabe!AW11</f>
        <v>3</v>
      </c>
      <c r="AW10" s="422"/>
      <c r="AX10" s="422"/>
      <c r="AY10" s="422"/>
      <c r="AZ10" s="422"/>
      <c r="BA10" s="48"/>
      <c r="BB10" s="48"/>
      <c r="BC10" s="48"/>
      <c r="BD10" s="49"/>
      <c r="BE10" s="49"/>
      <c r="BF10" s="49"/>
      <c r="BG10" s="50"/>
      <c r="BH10" s="50"/>
      <c r="BI10" s="51"/>
      <c r="BJ10" s="51"/>
      <c r="BK10" s="52"/>
      <c r="BL10" s="52"/>
      <c r="BM10" s="52"/>
      <c r="BN10" s="53"/>
      <c r="BO10" s="53"/>
      <c r="BP10" s="53"/>
      <c r="BQ10" s="50"/>
      <c r="BR10" s="50"/>
      <c r="BS10" s="50"/>
      <c r="BT10" s="50"/>
      <c r="BU10" s="50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ht="9" customHeight="1"/>
    <row r="12" spans="2:87" s="11" customFormat="1" ht="15">
      <c r="B12" s="59" t="s">
        <v>4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68:87" s="11" customFormat="1" ht="9.75" customHeight="1" thickBo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3:81" s="11" customFormat="1" ht="15.75" thickBot="1">
      <c r="C14" s="628" t="str">
        <f>Ergebniseingabe!D18</f>
        <v>Gruppe A</v>
      </c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30"/>
      <c r="AB14" s="625" t="str">
        <f>Ergebniseingabe!AC18</f>
        <v>Gruppe B</v>
      </c>
      <c r="AC14" s="626"/>
      <c r="AD14" s="626"/>
      <c r="AE14" s="626"/>
      <c r="AF14" s="626"/>
      <c r="AG14" s="626"/>
      <c r="AH14" s="626"/>
      <c r="AI14" s="626"/>
      <c r="AJ14" s="626"/>
      <c r="AK14" s="626"/>
      <c r="AL14" s="626"/>
      <c r="AM14" s="626"/>
      <c r="AN14" s="626"/>
      <c r="AO14" s="626"/>
      <c r="AP14" s="626"/>
      <c r="AQ14" s="626"/>
      <c r="AR14" s="626"/>
      <c r="AS14" s="626"/>
      <c r="AT14" s="626"/>
      <c r="AU14" s="626"/>
      <c r="AV14" s="627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2:81" s="11" customFormat="1" ht="15">
      <c r="B15" s="60">
        <v>1</v>
      </c>
      <c r="C15" s="636" t="str">
        <f>Ergebniseingabe!D19</f>
        <v>SVM Senioren I</v>
      </c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90"/>
      <c r="AA15" s="60">
        <v>1</v>
      </c>
      <c r="AB15" s="636" t="str">
        <f>Ergebniseingabe!AC19</f>
        <v>SVM Senioren II</v>
      </c>
      <c r="AC15" s="489"/>
      <c r="AD15" s="489"/>
      <c r="AE15" s="489"/>
      <c r="AF15" s="489"/>
      <c r="AG15" s="489"/>
      <c r="AH15" s="489"/>
      <c r="AI15" s="489"/>
      <c r="AJ15" s="489"/>
      <c r="AK15" s="489"/>
      <c r="AL15" s="489"/>
      <c r="AM15" s="489"/>
      <c r="AN15" s="489"/>
      <c r="AO15" s="489"/>
      <c r="AP15" s="489"/>
      <c r="AQ15" s="489"/>
      <c r="AR15" s="489"/>
      <c r="AS15" s="489"/>
      <c r="AT15" s="489"/>
      <c r="AU15" s="489"/>
      <c r="AV15" s="490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2:81" s="11" customFormat="1" ht="15">
      <c r="B16" s="60">
        <v>2</v>
      </c>
      <c r="C16" s="635" t="str">
        <f>Ergebniseingabe!D20</f>
        <v>SVM Senioren III</v>
      </c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6"/>
      <c r="U16" s="486"/>
      <c r="V16" s="486"/>
      <c r="W16" s="487"/>
      <c r="AA16" s="60">
        <v>2</v>
      </c>
      <c r="AB16" s="635" t="str">
        <f>Ergebniseingabe!AC20</f>
        <v>Eifelboyz</v>
      </c>
      <c r="AC16" s="486"/>
      <c r="AD16" s="486"/>
      <c r="AE16" s="486"/>
      <c r="AF16" s="486"/>
      <c r="AG16" s="486"/>
      <c r="AH16" s="486"/>
      <c r="AI16" s="486"/>
      <c r="AJ16" s="486"/>
      <c r="AK16" s="486"/>
      <c r="AL16" s="486"/>
      <c r="AM16" s="486"/>
      <c r="AN16" s="486"/>
      <c r="AO16" s="486"/>
      <c r="AP16" s="486"/>
      <c r="AQ16" s="486"/>
      <c r="AR16" s="486"/>
      <c r="AS16" s="486"/>
      <c r="AT16" s="486"/>
      <c r="AU16" s="486"/>
      <c r="AV16" s="487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81" s="11" customFormat="1" ht="15">
      <c r="B17" s="60">
        <v>3</v>
      </c>
      <c r="C17" s="635" t="str">
        <f>Ergebniseingabe!D21</f>
        <v>Esch</v>
      </c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487"/>
      <c r="AA17" s="60">
        <v>3</v>
      </c>
      <c r="AB17" s="635" t="str">
        <f>Ergebniseingabe!AC21</f>
        <v>A-Jugend (m)</v>
      </c>
      <c r="AC17" s="486"/>
      <c r="AD17" s="486"/>
      <c r="AE17" s="486"/>
      <c r="AF17" s="486"/>
      <c r="AG17" s="486"/>
      <c r="AH17" s="486"/>
      <c r="AI17" s="486"/>
      <c r="AJ17" s="486"/>
      <c r="AK17" s="486"/>
      <c r="AL17" s="486"/>
      <c r="AM17" s="486"/>
      <c r="AN17" s="486"/>
      <c r="AO17" s="486"/>
      <c r="AP17" s="486"/>
      <c r="AQ17" s="486"/>
      <c r="AR17" s="486"/>
      <c r="AS17" s="486"/>
      <c r="AT17" s="486"/>
      <c r="AU17" s="486"/>
      <c r="AV17" s="487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81" s="11" customFormat="1" ht="15.75" thickBot="1">
      <c r="B18" s="60">
        <v>4</v>
      </c>
      <c r="C18" s="637" t="str">
        <f>Ergebniseingabe!D22</f>
        <v>B-Jugend</v>
      </c>
      <c r="D18" s="483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4"/>
      <c r="AA18" s="60">
        <v>4</v>
      </c>
      <c r="AB18" s="637" t="str">
        <f>Ergebniseingabe!AC22</f>
        <v>A-Jugend (w)</v>
      </c>
      <c r="AC18" s="483"/>
      <c r="AD18" s="483"/>
      <c r="AE18" s="483"/>
      <c r="AF18" s="483"/>
      <c r="AG18" s="483"/>
      <c r="AH18" s="483"/>
      <c r="AI18" s="483"/>
      <c r="AJ18" s="483"/>
      <c r="AK18" s="483"/>
      <c r="AL18" s="483"/>
      <c r="AM18" s="483"/>
      <c r="AN18" s="483"/>
      <c r="AO18" s="483"/>
      <c r="AP18" s="483"/>
      <c r="AQ18" s="483"/>
      <c r="AR18" s="483"/>
      <c r="AS18" s="483"/>
      <c r="AT18" s="483"/>
      <c r="AU18" s="483"/>
      <c r="AV18" s="484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61:80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80" s="11" customFormat="1" ht="15">
      <c r="B20" s="59" t="s">
        <v>8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61:80" s="11" customFormat="1" ht="9.75" customHeight="1" thickBo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07" s="11" customFormat="1" ht="16.5" customHeight="1" thickBot="1">
      <c r="B22" s="633" t="s">
        <v>9</v>
      </c>
      <c r="C22" s="634"/>
      <c r="D22" s="494" t="s">
        <v>10</v>
      </c>
      <c r="E22" s="495"/>
      <c r="F22" s="496"/>
      <c r="G22" s="494" t="s">
        <v>63</v>
      </c>
      <c r="H22" s="495"/>
      <c r="I22" s="495"/>
      <c r="J22" s="496"/>
      <c r="K22" s="494" t="s">
        <v>11</v>
      </c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5"/>
      <c r="W22" s="495"/>
      <c r="X22" s="495"/>
      <c r="Y22" s="495"/>
      <c r="Z22" s="495"/>
      <c r="AA22" s="495"/>
      <c r="AB22" s="495"/>
      <c r="AC22" s="495"/>
      <c r="AD22" s="495"/>
      <c r="AE22" s="495"/>
      <c r="AF22" s="495"/>
      <c r="AG22" s="495"/>
      <c r="AH22" s="495"/>
      <c r="AI22" s="495"/>
      <c r="AJ22" s="495"/>
      <c r="AK22" s="495"/>
      <c r="AL22" s="495"/>
      <c r="AM22" s="495"/>
      <c r="AN22" s="495"/>
      <c r="AO22" s="495"/>
      <c r="AP22" s="495"/>
      <c r="AQ22" s="495"/>
      <c r="AR22" s="495"/>
      <c r="AS22" s="495"/>
      <c r="AT22" s="495"/>
      <c r="AU22" s="495"/>
      <c r="AV22" s="495"/>
      <c r="AW22" s="495"/>
      <c r="AX22" s="495"/>
      <c r="AY22" s="495"/>
      <c r="AZ22" s="495"/>
      <c r="BA22" s="496"/>
      <c r="BB22" s="494" t="s">
        <v>12</v>
      </c>
      <c r="BC22" s="495"/>
      <c r="BD22" s="495"/>
      <c r="BE22" s="495"/>
      <c r="BF22" s="495"/>
      <c r="BG22" s="61"/>
      <c r="BH22" s="62"/>
      <c r="BX22" s="63"/>
      <c r="BY22" s="63"/>
      <c r="BZ22" s="63"/>
      <c r="CA22" s="63"/>
      <c r="CB22" s="63"/>
      <c r="CC22" s="63"/>
      <c r="CD22" s="64"/>
      <c r="CE22" s="64"/>
      <c r="CF22" s="65"/>
      <c r="CG22" s="64"/>
      <c r="CH22" s="64"/>
      <c r="CI22" s="64"/>
      <c r="CJ22" s="65"/>
      <c r="CK22" s="64"/>
      <c r="CL22" s="64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12"/>
      <c r="CX22" s="12"/>
      <c r="CY22" s="12"/>
      <c r="CZ22" s="12"/>
      <c r="DA22" s="12"/>
      <c r="DB22" s="12"/>
      <c r="DC22" s="12"/>
    </row>
    <row r="23" spans="2:107" s="66" customFormat="1" ht="20.25" customHeight="1">
      <c r="B23" s="639">
        <v>1</v>
      </c>
      <c r="C23" s="608"/>
      <c r="D23" s="608" t="str">
        <f>Ergebniseingabe!E27</f>
        <v>A</v>
      </c>
      <c r="E23" s="608"/>
      <c r="F23" s="608"/>
      <c r="G23" s="621">
        <f>Ergebniseingabe!H27</f>
        <v>0.5416666666666666</v>
      </c>
      <c r="H23" s="622"/>
      <c r="I23" s="622"/>
      <c r="J23" s="623"/>
      <c r="K23" s="617" t="str">
        <f>Ergebniseingabe!L27</f>
        <v>SVM Senioren I</v>
      </c>
      <c r="L23" s="618"/>
      <c r="M23" s="618"/>
      <c r="N23" s="618"/>
      <c r="O23" s="618"/>
      <c r="P23" s="618"/>
      <c r="Q23" s="618"/>
      <c r="R23" s="618"/>
      <c r="S23" s="618"/>
      <c r="T23" s="618"/>
      <c r="U23" s="618"/>
      <c r="V23" s="618"/>
      <c r="W23" s="618"/>
      <c r="X23" s="618"/>
      <c r="Y23" s="618"/>
      <c r="Z23" s="618"/>
      <c r="AA23" s="618"/>
      <c r="AB23" s="618"/>
      <c r="AC23" s="618"/>
      <c r="AD23" s="618"/>
      <c r="AE23" s="618"/>
      <c r="AF23" s="67" t="s">
        <v>14</v>
      </c>
      <c r="AG23" s="618" t="str">
        <f>Ergebniseingabe!AH27</f>
        <v>SVM Senioren III</v>
      </c>
      <c r="AH23" s="618"/>
      <c r="AI23" s="618"/>
      <c r="AJ23" s="618"/>
      <c r="AK23" s="618"/>
      <c r="AL23" s="618"/>
      <c r="AM23" s="618"/>
      <c r="AN23" s="618"/>
      <c r="AO23" s="618"/>
      <c r="AP23" s="618"/>
      <c r="AQ23" s="618"/>
      <c r="AR23" s="618"/>
      <c r="AS23" s="618"/>
      <c r="AT23" s="618"/>
      <c r="AU23" s="618"/>
      <c r="AV23" s="618"/>
      <c r="AW23" s="618"/>
      <c r="AX23" s="618"/>
      <c r="AY23" s="618"/>
      <c r="AZ23" s="618"/>
      <c r="BA23" s="624"/>
      <c r="BB23" s="609">
        <f>IF(Ergebniseingabe!BC27="","",Ergebniseingabe!BC27)</f>
      </c>
      <c r="BC23" s="610"/>
      <c r="BD23" s="610"/>
      <c r="BE23" s="426">
        <f>IF(Ergebniseingabe!BF27="","",Ergebniseingabe!BF27)</f>
      </c>
      <c r="BF23" s="427"/>
      <c r="BG23" s="68"/>
      <c r="BH23" s="69"/>
      <c r="BX23" s="63"/>
      <c r="BY23" s="63"/>
      <c r="BZ23" s="63"/>
      <c r="CA23" s="63"/>
      <c r="CB23" s="63"/>
      <c r="CC23" s="63"/>
      <c r="CD23" s="64"/>
      <c r="CE23" s="64"/>
      <c r="CF23" s="65"/>
      <c r="CG23" s="65"/>
      <c r="CH23" s="65"/>
      <c r="CI23" s="65"/>
      <c r="CJ23" s="65"/>
      <c r="CK23" s="64"/>
      <c r="CL23" s="64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12"/>
      <c r="CX23" s="12"/>
      <c r="CY23" s="12"/>
      <c r="CZ23" s="12"/>
      <c r="DA23" s="12"/>
      <c r="DB23" s="12"/>
      <c r="DC23" s="12"/>
    </row>
    <row r="24" spans="2:107" s="11" customFormat="1" ht="20.25" customHeight="1" thickBot="1">
      <c r="B24" s="531">
        <v>2</v>
      </c>
      <c r="C24" s="529"/>
      <c r="D24" s="529" t="str">
        <f>Ergebniseingabe!E28</f>
        <v>A</v>
      </c>
      <c r="E24" s="529"/>
      <c r="F24" s="529"/>
      <c r="G24" s="532">
        <f>Ergebniseingabe!H28</f>
        <v>0.5506944444444444</v>
      </c>
      <c r="H24" s="533"/>
      <c r="I24" s="533"/>
      <c r="J24" s="534"/>
      <c r="K24" s="577" t="str">
        <f>Ergebniseingabe!L28</f>
        <v>Esch</v>
      </c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78"/>
      <c r="AC24" s="578"/>
      <c r="AD24" s="578"/>
      <c r="AE24" s="578"/>
      <c r="AF24" s="77" t="s">
        <v>14</v>
      </c>
      <c r="AG24" s="578" t="str">
        <f>Ergebniseingabe!AH28</f>
        <v>B-Jugend</v>
      </c>
      <c r="AH24" s="578"/>
      <c r="AI24" s="578"/>
      <c r="AJ24" s="578"/>
      <c r="AK24" s="578"/>
      <c r="AL24" s="578"/>
      <c r="AM24" s="578"/>
      <c r="AN24" s="578"/>
      <c r="AO24" s="578"/>
      <c r="AP24" s="578"/>
      <c r="AQ24" s="578"/>
      <c r="AR24" s="578"/>
      <c r="AS24" s="578"/>
      <c r="AT24" s="578"/>
      <c r="AU24" s="578"/>
      <c r="AV24" s="578"/>
      <c r="AW24" s="578"/>
      <c r="AX24" s="578"/>
      <c r="AY24" s="578"/>
      <c r="AZ24" s="578"/>
      <c r="BA24" s="587"/>
      <c r="BB24" s="585">
        <f>IF(Ergebniseingabe!BC28="","",Ergebniseingabe!BC28)</f>
      </c>
      <c r="BC24" s="586"/>
      <c r="BD24" s="586"/>
      <c r="BE24" s="579">
        <f>IF(Ergebniseingabe!BF28="","",Ergebniseingabe!BF28)</f>
      </c>
      <c r="BF24" s="580"/>
      <c r="BG24" s="70"/>
      <c r="BH24" s="15"/>
      <c r="CD24" s="71"/>
      <c r="CE24" s="71"/>
      <c r="CF24" s="72"/>
      <c r="CG24" s="72"/>
      <c r="CH24" s="72"/>
      <c r="CI24" s="72"/>
      <c r="CJ24" s="72"/>
      <c r="CK24" s="71"/>
      <c r="CL24" s="71"/>
      <c r="CP24" s="63"/>
      <c r="CQ24" s="63"/>
      <c r="CR24" s="63"/>
      <c r="CS24" s="63"/>
      <c r="CT24" s="63"/>
      <c r="CU24" s="63"/>
      <c r="CV24" s="63"/>
      <c r="CW24" s="12"/>
      <c r="CX24" s="12"/>
      <c r="CY24" s="12"/>
      <c r="CZ24" s="12"/>
      <c r="DA24" s="12"/>
      <c r="DB24" s="12"/>
      <c r="DC24" s="12"/>
    </row>
    <row r="25" spans="2:107" s="11" customFormat="1" ht="20.25" customHeight="1">
      <c r="B25" s="604">
        <v>3</v>
      </c>
      <c r="C25" s="530"/>
      <c r="D25" s="530" t="str">
        <f>Ergebniseingabe!E29</f>
        <v>B</v>
      </c>
      <c r="E25" s="530"/>
      <c r="F25" s="530"/>
      <c r="G25" s="535">
        <f>Ergebniseingabe!H29</f>
        <v>0.5597222222222221</v>
      </c>
      <c r="H25" s="536"/>
      <c r="I25" s="536"/>
      <c r="J25" s="537"/>
      <c r="K25" s="607" t="str">
        <f>Ergebniseingabe!L29</f>
        <v>SVM Senioren II</v>
      </c>
      <c r="L25" s="605"/>
      <c r="M25" s="605"/>
      <c r="N25" s="605"/>
      <c r="O25" s="605"/>
      <c r="P25" s="605"/>
      <c r="Q25" s="605"/>
      <c r="R25" s="605"/>
      <c r="S25" s="605"/>
      <c r="T25" s="605"/>
      <c r="U25" s="605"/>
      <c r="V25" s="605"/>
      <c r="W25" s="605"/>
      <c r="X25" s="605"/>
      <c r="Y25" s="605"/>
      <c r="Z25" s="605"/>
      <c r="AA25" s="605"/>
      <c r="AB25" s="605"/>
      <c r="AC25" s="605"/>
      <c r="AD25" s="605"/>
      <c r="AE25" s="605"/>
      <c r="AF25" s="192" t="s">
        <v>14</v>
      </c>
      <c r="AG25" s="605" t="str">
        <f>Ergebniseingabe!AH29</f>
        <v>Eifelboyz</v>
      </c>
      <c r="AH25" s="605"/>
      <c r="AI25" s="605"/>
      <c r="AJ25" s="605"/>
      <c r="AK25" s="605"/>
      <c r="AL25" s="605"/>
      <c r="AM25" s="605"/>
      <c r="AN25" s="605"/>
      <c r="AO25" s="605"/>
      <c r="AP25" s="605"/>
      <c r="AQ25" s="605"/>
      <c r="AR25" s="605"/>
      <c r="AS25" s="605"/>
      <c r="AT25" s="605"/>
      <c r="AU25" s="605"/>
      <c r="AV25" s="605"/>
      <c r="AW25" s="605"/>
      <c r="AX25" s="605"/>
      <c r="AY25" s="605"/>
      <c r="AZ25" s="605"/>
      <c r="BA25" s="606"/>
      <c r="BB25" s="583">
        <f>IF(Ergebniseingabe!BC29="","",Ergebniseingabe!BC29)</f>
      </c>
      <c r="BC25" s="584"/>
      <c r="BD25" s="584"/>
      <c r="BE25" s="581">
        <f>IF(Ergebniseingabe!BF29="","",Ergebniseingabe!BF29)</f>
      </c>
      <c r="BF25" s="582"/>
      <c r="BG25" s="70"/>
      <c r="BH25" s="15"/>
      <c r="BX25" s="63"/>
      <c r="BY25" s="63"/>
      <c r="BZ25" s="63"/>
      <c r="CA25" s="63"/>
      <c r="CB25" s="63"/>
      <c r="CC25" s="63"/>
      <c r="CD25" s="64"/>
      <c r="CE25" s="64"/>
      <c r="CF25" s="65"/>
      <c r="CG25" s="65"/>
      <c r="CH25" s="65"/>
      <c r="CI25" s="65"/>
      <c r="CJ25" s="65"/>
      <c r="CK25" s="64"/>
      <c r="CL25" s="64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12"/>
      <c r="CX25" s="12"/>
      <c r="CY25" s="12"/>
      <c r="CZ25" s="12"/>
      <c r="DA25" s="12"/>
      <c r="DB25" s="12"/>
      <c r="DC25" s="12"/>
    </row>
    <row r="26" spans="2:107" s="11" customFormat="1" ht="20.25" customHeight="1" thickBot="1">
      <c r="B26" s="531">
        <v>4</v>
      </c>
      <c r="C26" s="529"/>
      <c r="D26" s="529" t="str">
        <f>Ergebniseingabe!E30</f>
        <v>B</v>
      </c>
      <c r="E26" s="529"/>
      <c r="F26" s="529"/>
      <c r="G26" s="532">
        <f>Ergebniseingabe!H30</f>
        <v>0.5687499999999999</v>
      </c>
      <c r="H26" s="533"/>
      <c r="I26" s="533"/>
      <c r="J26" s="534"/>
      <c r="K26" s="577" t="str">
        <f>Ergebniseingabe!L30</f>
        <v>A-Jugend (m)</v>
      </c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8"/>
      <c r="AB26" s="578"/>
      <c r="AC26" s="578"/>
      <c r="AD26" s="578"/>
      <c r="AE26" s="578"/>
      <c r="AF26" s="77" t="s">
        <v>14</v>
      </c>
      <c r="AG26" s="578" t="str">
        <f>Ergebniseingabe!AH30</f>
        <v>A-Jugend (w)</v>
      </c>
      <c r="AH26" s="578"/>
      <c r="AI26" s="578"/>
      <c r="AJ26" s="578"/>
      <c r="AK26" s="578"/>
      <c r="AL26" s="578"/>
      <c r="AM26" s="578"/>
      <c r="AN26" s="578"/>
      <c r="AO26" s="578"/>
      <c r="AP26" s="578"/>
      <c r="AQ26" s="578"/>
      <c r="AR26" s="578"/>
      <c r="AS26" s="578"/>
      <c r="AT26" s="578"/>
      <c r="AU26" s="578"/>
      <c r="AV26" s="578"/>
      <c r="AW26" s="578"/>
      <c r="AX26" s="578"/>
      <c r="AY26" s="578"/>
      <c r="AZ26" s="578"/>
      <c r="BA26" s="587"/>
      <c r="BB26" s="585">
        <f>IF(Ergebniseingabe!BC30="","",Ergebniseingabe!BC30)</f>
      </c>
      <c r="BC26" s="586"/>
      <c r="BD26" s="586"/>
      <c r="BE26" s="579">
        <f>IF(Ergebniseingabe!BF30="","",Ergebniseingabe!BF30)</f>
      </c>
      <c r="BF26" s="580"/>
      <c r="BG26" s="70"/>
      <c r="BH26" s="15"/>
      <c r="BX26" s="63"/>
      <c r="BY26" s="63"/>
      <c r="BZ26" s="63"/>
      <c r="CA26" s="63"/>
      <c r="CB26" s="63"/>
      <c r="CC26" s="63"/>
      <c r="CD26" s="64"/>
      <c r="CE26" s="64"/>
      <c r="CF26" s="65"/>
      <c r="CG26" s="65"/>
      <c r="CH26" s="65"/>
      <c r="CI26" s="65"/>
      <c r="CJ26" s="65"/>
      <c r="CK26" s="64"/>
      <c r="CL26" s="64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12"/>
      <c r="CX26" s="12"/>
      <c r="CY26" s="12"/>
      <c r="CZ26" s="12"/>
      <c r="DA26" s="12"/>
      <c r="DB26" s="12"/>
      <c r="DC26" s="12"/>
    </row>
    <row r="27" spans="2:107" s="11" customFormat="1" ht="20.25" customHeight="1">
      <c r="B27" s="604">
        <v>5</v>
      </c>
      <c r="C27" s="530"/>
      <c r="D27" s="530" t="str">
        <f>Ergebniseingabe!E31</f>
        <v>A</v>
      </c>
      <c r="E27" s="530"/>
      <c r="F27" s="530"/>
      <c r="G27" s="535">
        <f>Ergebniseingabe!H31</f>
        <v>0.5777777777777776</v>
      </c>
      <c r="H27" s="536"/>
      <c r="I27" s="536"/>
      <c r="J27" s="537"/>
      <c r="K27" s="607" t="str">
        <f>Ergebniseingabe!L31</f>
        <v>SVM Senioren I</v>
      </c>
      <c r="L27" s="605"/>
      <c r="M27" s="605"/>
      <c r="N27" s="605"/>
      <c r="O27" s="605"/>
      <c r="P27" s="605"/>
      <c r="Q27" s="605"/>
      <c r="R27" s="605"/>
      <c r="S27" s="605"/>
      <c r="T27" s="605"/>
      <c r="U27" s="605"/>
      <c r="V27" s="605"/>
      <c r="W27" s="605"/>
      <c r="X27" s="605"/>
      <c r="Y27" s="605"/>
      <c r="Z27" s="605"/>
      <c r="AA27" s="605"/>
      <c r="AB27" s="605"/>
      <c r="AC27" s="605"/>
      <c r="AD27" s="605"/>
      <c r="AE27" s="605"/>
      <c r="AF27" s="192" t="s">
        <v>14</v>
      </c>
      <c r="AG27" s="605" t="str">
        <f>Ergebniseingabe!AH31</f>
        <v>Esch</v>
      </c>
      <c r="AH27" s="605"/>
      <c r="AI27" s="605"/>
      <c r="AJ27" s="605"/>
      <c r="AK27" s="605"/>
      <c r="AL27" s="605"/>
      <c r="AM27" s="605"/>
      <c r="AN27" s="605"/>
      <c r="AO27" s="605"/>
      <c r="AP27" s="605"/>
      <c r="AQ27" s="605"/>
      <c r="AR27" s="605"/>
      <c r="AS27" s="605"/>
      <c r="AT27" s="605"/>
      <c r="AU27" s="605"/>
      <c r="AV27" s="605"/>
      <c r="AW27" s="605"/>
      <c r="AX27" s="605"/>
      <c r="AY27" s="605"/>
      <c r="AZ27" s="605"/>
      <c r="BA27" s="606"/>
      <c r="BB27" s="583">
        <f>IF(Ergebniseingabe!BC31="","",Ergebniseingabe!BC31)</f>
      </c>
      <c r="BC27" s="584"/>
      <c r="BD27" s="584"/>
      <c r="BE27" s="581">
        <f>IF(Ergebniseingabe!BF31="","",Ergebniseingabe!BF31)</f>
      </c>
      <c r="BF27" s="582"/>
      <c r="BG27" s="70"/>
      <c r="BH27" s="15"/>
      <c r="BX27" s="63"/>
      <c r="BY27" s="63"/>
      <c r="BZ27" s="63"/>
      <c r="CA27" s="63"/>
      <c r="CB27" s="63"/>
      <c r="CC27" s="63"/>
      <c r="CD27" s="64"/>
      <c r="CE27" s="64"/>
      <c r="CF27" s="65"/>
      <c r="CG27" s="65"/>
      <c r="CH27" s="65"/>
      <c r="CI27" s="65"/>
      <c r="CJ27" s="65"/>
      <c r="CK27" s="64"/>
      <c r="CL27" s="64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 thickBot="1">
      <c r="B28" s="531">
        <v>6</v>
      </c>
      <c r="C28" s="529"/>
      <c r="D28" s="529" t="str">
        <f>Ergebniseingabe!E32</f>
        <v>A</v>
      </c>
      <c r="E28" s="529"/>
      <c r="F28" s="529"/>
      <c r="G28" s="532">
        <f>Ergebniseingabe!H32</f>
        <v>0.5868055555555554</v>
      </c>
      <c r="H28" s="533"/>
      <c r="I28" s="533"/>
      <c r="J28" s="534"/>
      <c r="K28" s="577" t="str">
        <f>Ergebniseingabe!L32</f>
        <v>SVM Senioren III</v>
      </c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78"/>
      <c r="AC28" s="578"/>
      <c r="AD28" s="578"/>
      <c r="AE28" s="578"/>
      <c r="AF28" s="77" t="s">
        <v>14</v>
      </c>
      <c r="AG28" s="578" t="str">
        <f>Ergebniseingabe!AH32</f>
        <v>B-Jugend</v>
      </c>
      <c r="AH28" s="578"/>
      <c r="AI28" s="578"/>
      <c r="AJ28" s="578"/>
      <c r="AK28" s="578"/>
      <c r="AL28" s="578"/>
      <c r="AM28" s="578"/>
      <c r="AN28" s="578"/>
      <c r="AO28" s="578"/>
      <c r="AP28" s="578"/>
      <c r="AQ28" s="578"/>
      <c r="AR28" s="578"/>
      <c r="AS28" s="578"/>
      <c r="AT28" s="578"/>
      <c r="AU28" s="578"/>
      <c r="AV28" s="578"/>
      <c r="AW28" s="578"/>
      <c r="AX28" s="578"/>
      <c r="AY28" s="578"/>
      <c r="AZ28" s="578"/>
      <c r="BA28" s="587"/>
      <c r="BB28" s="585">
        <f>IF(Ergebniseingabe!BC32="","",Ergebniseingabe!BC32)</f>
      </c>
      <c r="BC28" s="586"/>
      <c r="BD28" s="586"/>
      <c r="BE28" s="579">
        <f>IF(Ergebniseingabe!BF32="","",Ergebniseingabe!BF32)</f>
      </c>
      <c r="BF28" s="580"/>
      <c r="BG28" s="70"/>
      <c r="BH28" s="15"/>
      <c r="CD28" s="71"/>
      <c r="CE28" s="71"/>
      <c r="CF28" s="72"/>
      <c r="CG28" s="72"/>
      <c r="CH28" s="72"/>
      <c r="CI28" s="72"/>
      <c r="CJ28" s="72"/>
      <c r="CK28" s="71"/>
      <c r="CL28" s="71"/>
      <c r="CP28" s="73"/>
      <c r="CQ28" s="73"/>
      <c r="CR28" s="74"/>
      <c r="CS28" s="73"/>
      <c r="CT28" s="75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M28" s="73"/>
      <c r="DN28" s="73"/>
      <c r="DP28" s="73"/>
      <c r="DQ28" s="73"/>
      <c r="DS28" s="73"/>
      <c r="DV28" s="73"/>
      <c r="DX28" s="75"/>
      <c r="DY28" s="75"/>
    </row>
    <row r="29" spans="2:107" s="11" customFormat="1" ht="20.25" customHeight="1">
      <c r="B29" s="604">
        <v>7</v>
      </c>
      <c r="C29" s="530"/>
      <c r="D29" s="530" t="str">
        <f>Ergebniseingabe!E33</f>
        <v>B</v>
      </c>
      <c r="E29" s="530"/>
      <c r="F29" s="530"/>
      <c r="G29" s="535">
        <f>Ergebniseingabe!H33</f>
        <v>0.5958333333333331</v>
      </c>
      <c r="H29" s="536"/>
      <c r="I29" s="536"/>
      <c r="J29" s="537"/>
      <c r="K29" s="607" t="str">
        <f>Ergebniseingabe!L33</f>
        <v>SVM Senioren II</v>
      </c>
      <c r="L29" s="605"/>
      <c r="M29" s="605"/>
      <c r="N29" s="605"/>
      <c r="O29" s="605"/>
      <c r="P29" s="605"/>
      <c r="Q29" s="605"/>
      <c r="R29" s="605"/>
      <c r="S29" s="605"/>
      <c r="T29" s="605"/>
      <c r="U29" s="605"/>
      <c r="V29" s="605"/>
      <c r="W29" s="605"/>
      <c r="X29" s="605"/>
      <c r="Y29" s="605"/>
      <c r="Z29" s="605"/>
      <c r="AA29" s="605"/>
      <c r="AB29" s="605"/>
      <c r="AC29" s="605"/>
      <c r="AD29" s="605"/>
      <c r="AE29" s="605"/>
      <c r="AF29" s="192" t="s">
        <v>14</v>
      </c>
      <c r="AG29" s="605" t="str">
        <f>Ergebniseingabe!AH33</f>
        <v>A-Jugend (m)</v>
      </c>
      <c r="AH29" s="605"/>
      <c r="AI29" s="605"/>
      <c r="AJ29" s="605"/>
      <c r="AK29" s="605"/>
      <c r="AL29" s="605"/>
      <c r="AM29" s="605"/>
      <c r="AN29" s="605"/>
      <c r="AO29" s="605"/>
      <c r="AP29" s="605"/>
      <c r="AQ29" s="605"/>
      <c r="AR29" s="605"/>
      <c r="AS29" s="605"/>
      <c r="AT29" s="605"/>
      <c r="AU29" s="605"/>
      <c r="AV29" s="605"/>
      <c r="AW29" s="605"/>
      <c r="AX29" s="605"/>
      <c r="AY29" s="605"/>
      <c r="AZ29" s="605"/>
      <c r="BA29" s="606"/>
      <c r="BB29" s="583">
        <f>IF(Ergebniseingabe!BC33="","",Ergebniseingabe!BC33)</f>
      </c>
      <c r="BC29" s="584"/>
      <c r="BD29" s="584"/>
      <c r="BE29" s="581">
        <f>IF(Ergebniseingabe!BF33="","",Ergebniseingabe!BF33)</f>
      </c>
      <c r="BF29" s="582"/>
      <c r="BG29" s="70"/>
      <c r="BH29" s="15"/>
      <c r="BX29" s="63"/>
      <c r="BY29" s="63"/>
      <c r="BZ29" s="63"/>
      <c r="CA29" s="63"/>
      <c r="CB29" s="63"/>
      <c r="CC29" s="63"/>
      <c r="CD29" s="64"/>
      <c r="CE29" s="64"/>
      <c r="CF29" s="65"/>
      <c r="CG29" s="65"/>
      <c r="CH29" s="65"/>
      <c r="CI29" s="65"/>
      <c r="CJ29" s="65"/>
      <c r="CK29" s="64"/>
      <c r="CL29" s="64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 thickBot="1">
      <c r="B30" s="531">
        <v>8</v>
      </c>
      <c r="C30" s="529"/>
      <c r="D30" s="529" t="str">
        <f>Ergebniseingabe!E34</f>
        <v>B</v>
      </c>
      <c r="E30" s="529"/>
      <c r="F30" s="529"/>
      <c r="G30" s="532">
        <f>Ergebniseingabe!H34</f>
        <v>0.6048611111111108</v>
      </c>
      <c r="H30" s="533"/>
      <c r="I30" s="533"/>
      <c r="J30" s="534"/>
      <c r="K30" s="577" t="str">
        <f>Ergebniseingabe!L34</f>
        <v>Eifelboyz</v>
      </c>
      <c r="L30" s="578"/>
      <c r="M30" s="578"/>
      <c r="N30" s="578"/>
      <c r="O30" s="578"/>
      <c r="P30" s="578"/>
      <c r="Q30" s="578"/>
      <c r="R30" s="578"/>
      <c r="S30" s="578"/>
      <c r="T30" s="578"/>
      <c r="U30" s="578"/>
      <c r="V30" s="578"/>
      <c r="W30" s="578"/>
      <c r="X30" s="578"/>
      <c r="Y30" s="578"/>
      <c r="Z30" s="578"/>
      <c r="AA30" s="578"/>
      <c r="AB30" s="578"/>
      <c r="AC30" s="578"/>
      <c r="AD30" s="578"/>
      <c r="AE30" s="578"/>
      <c r="AF30" s="77" t="s">
        <v>14</v>
      </c>
      <c r="AG30" s="578" t="str">
        <f>Ergebniseingabe!AH34</f>
        <v>A-Jugend (w)</v>
      </c>
      <c r="AH30" s="578"/>
      <c r="AI30" s="578"/>
      <c r="AJ30" s="578"/>
      <c r="AK30" s="578"/>
      <c r="AL30" s="578"/>
      <c r="AM30" s="578"/>
      <c r="AN30" s="578"/>
      <c r="AO30" s="578"/>
      <c r="AP30" s="578"/>
      <c r="AQ30" s="578"/>
      <c r="AR30" s="578"/>
      <c r="AS30" s="578"/>
      <c r="AT30" s="578"/>
      <c r="AU30" s="578"/>
      <c r="AV30" s="578"/>
      <c r="AW30" s="578"/>
      <c r="AX30" s="578"/>
      <c r="AY30" s="578"/>
      <c r="AZ30" s="578"/>
      <c r="BA30" s="587"/>
      <c r="BB30" s="585">
        <f>IF(Ergebniseingabe!BC34="","",Ergebniseingabe!BC34)</f>
      </c>
      <c r="BC30" s="586"/>
      <c r="BD30" s="586"/>
      <c r="BE30" s="579">
        <f>IF(Ergebniseingabe!BF34="","",Ergebniseingabe!BF34)</f>
      </c>
      <c r="BF30" s="580"/>
      <c r="BG30" s="70"/>
      <c r="BH30" s="15"/>
      <c r="BX30" s="63"/>
      <c r="BY30" s="63"/>
      <c r="BZ30" s="63"/>
      <c r="CA30" s="63"/>
      <c r="CB30" s="63"/>
      <c r="CC30" s="63"/>
      <c r="CD30" s="64"/>
      <c r="CE30" s="64"/>
      <c r="CF30" s="65"/>
      <c r="CG30" s="65"/>
      <c r="CH30" s="65"/>
      <c r="CI30" s="65"/>
      <c r="CJ30" s="65"/>
      <c r="CK30" s="64"/>
      <c r="CL30" s="64"/>
      <c r="CM30" s="63"/>
      <c r="CN30" s="76"/>
      <c r="CO30" s="73"/>
      <c r="CP30" s="73"/>
      <c r="CQ30" s="73"/>
      <c r="CR30" s="74"/>
      <c r="CS30" s="73"/>
      <c r="CT30" s="75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M30" s="73"/>
      <c r="DN30" s="73"/>
      <c r="DP30" s="73"/>
      <c r="DQ30" s="73"/>
      <c r="DS30" s="73"/>
      <c r="DV30" s="73"/>
      <c r="DX30" s="75"/>
      <c r="DY30" s="75"/>
    </row>
    <row r="31" spans="2:129" s="11" customFormat="1" ht="20.25" customHeight="1">
      <c r="B31" s="604">
        <v>9</v>
      </c>
      <c r="C31" s="530"/>
      <c r="D31" s="530" t="str">
        <f>Ergebniseingabe!E35</f>
        <v>A</v>
      </c>
      <c r="E31" s="530"/>
      <c r="F31" s="530"/>
      <c r="G31" s="535">
        <f>Ergebniseingabe!H35</f>
        <v>0.6138888888888886</v>
      </c>
      <c r="H31" s="536"/>
      <c r="I31" s="536"/>
      <c r="J31" s="537"/>
      <c r="K31" s="607" t="str">
        <f>Ergebniseingabe!L35</f>
        <v>B-Jugend</v>
      </c>
      <c r="L31" s="605"/>
      <c r="M31" s="605"/>
      <c r="N31" s="605"/>
      <c r="O31" s="605"/>
      <c r="P31" s="605"/>
      <c r="Q31" s="605"/>
      <c r="R31" s="605"/>
      <c r="S31" s="605"/>
      <c r="T31" s="605"/>
      <c r="U31" s="605"/>
      <c r="V31" s="605"/>
      <c r="W31" s="605"/>
      <c r="X31" s="605"/>
      <c r="Y31" s="605"/>
      <c r="Z31" s="605"/>
      <c r="AA31" s="605"/>
      <c r="AB31" s="605"/>
      <c r="AC31" s="605"/>
      <c r="AD31" s="605"/>
      <c r="AE31" s="605"/>
      <c r="AF31" s="192" t="s">
        <v>14</v>
      </c>
      <c r="AG31" s="605" t="str">
        <f>Ergebniseingabe!AH35</f>
        <v>SVM Senioren I</v>
      </c>
      <c r="AH31" s="605"/>
      <c r="AI31" s="605"/>
      <c r="AJ31" s="605"/>
      <c r="AK31" s="605"/>
      <c r="AL31" s="605"/>
      <c r="AM31" s="605"/>
      <c r="AN31" s="605"/>
      <c r="AO31" s="605"/>
      <c r="AP31" s="605"/>
      <c r="AQ31" s="605"/>
      <c r="AR31" s="605"/>
      <c r="AS31" s="605"/>
      <c r="AT31" s="605"/>
      <c r="AU31" s="605"/>
      <c r="AV31" s="605"/>
      <c r="AW31" s="605"/>
      <c r="AX31" s="605"/>
      <c r="AY31" s="605"/>
      <c r="AZ31" s="605"/>
      <c r="BA31" s="606"/>
      <c r="BB31" s="583">
        <f>IF(Ergebniseingabe!BC35="","",Ergebniseingabe!BC35)</f>
      </c>
      <c r="BC31" s="584"/>
      <c r="BD31" s="584"/>
      <c r="BE31" s="581">
        <f>IF(Ergebniseingabe!BF35="","",Ergebniseingabe!BF35)</f>
      </c>
      <c r="BF31" s="582"/>
      <c r="BG31" s="70"/>
      <c r="BH31" s="15"/>
      <c r="CD31" s="71"/>
      <c r="CE31" s="71"/>
      <c r="CF31" s="72"/>
      <c r="CG31" s="72"/>
      <c r="CH31" s="72"/>
      <c r="CI31" s="72"/>
      <c r="CJ31" s="72"/>
      <c r="CK31" s="71"/>
      <c r="CL31" s="71"/>
      <c r="CP31" s="73"/>
      <c r="CQ31" s="73"/>
      <c r="CR31" s="74"/>
      <c r="CS31" s="73"/>
      <c r="CT31" s="75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M31" s="73"/>
      <c r="DN31" s="73"/>
      <c r="DP31" s="73"/>
      <c r="DQ31" s="73"/>
      <c r="DS31" s="73"/>
      <c r="DV31" s="73"/>
      <c r="DX31" s="75"/>
      <c r="DY31" s="75"/>
    </row>
    <row r="32" spans="2:107" s="11" customFormat="1" ht="20.25" customHeight="1" thickBot="1">
      <c r="B32" s="531">
        <v>10</v>
      </c>
      <c r="C32" s="529"/>
      <c r="D32" s="529" t="str">
        <f>Ergebniseingabe!E36</f>
        <v>A</v>
      </c>
      <c r="E32" s="529"/>
      <c r="F32" s="529"/>
      <c r="G32" s="532">
        <f>Ergebniseingabe!H36</f>
        <v>0.6229166666666663</v>
      </c>
      <c r="H32" s="533"/>
      <c r="I32" s="533"/>
      <c r="J32" s="534"/>
      <c r="K32" s="577" t="str">
        <f>Ergebniseingabe!L36</f>
        <v>Esch</v>
      </c>
      <c r="L32" s="578"/>
      <c r="M32" s="578"/>
      <c r="N32" s="578"/>
      <c r="O32" s="578"/>
      <c r="P32" s="578"/>
      <c r="Q32" s="578"/>
      <c r="R32" s="578"/>
      <c r="S32" s="578"/>
      <c r="T32" s="578"/>
      <c r="U32" s="578"/>
      <c r="V32" s="578"/>
      <c r="W32" s="578"/>
      <c r="X32" s="578"/>
      <c r="Y32" s="578"/>
      <c r="Z32" s="578"/>
      <c r="AA32" s="578"/>
      <c r="AB32" s="578"/>
      <c r="AC32" s="578"/>
      <c r="AD32" s="578"/>
      <c r="AE32" s="578"/>
      <c r="AF32" s="77" t="s">
        <v>14</v>
      </c>
      <c r="AG32" s="578" t="str">
        <f>Ergebniseingabe!AH36</f>
        <v>SVM Senioren III</v>
      </c>
      <c r="AH32" s="578"/>
      <c r="AI32" s="578"/>
      <c r="AJ32" s="578"/>
      <c r="AK32" s="578"/>
      <c r="AL32" s="578"/>
      <c r="AM32" s="578"/>
      <c r="AN32" s="578"/>
      <c r="AO32" s="578"/>
      <c r="AP32" s="578"/>
      <c r="AQ32" s="578"/>
      <c r="AR32" s="578"/>
      <c r="AS32" s="578"/>
      <c r="AT32" s="578"/>
      <c r="AU32" s="578"/>
      <c r="AV32" s="578"/>
      <c r="AW32" s="578"/>
      <c r="AX32" s="578"/>
      <c r="AY32" s="578"/>
      <c r="AZ32" s="578"/>
      <c r="BA32" s="587"/>
      <c r="BB32" s="585">
        <f>IF(Ergebniseingabe!BC36="","",Ergebniseingabe!BC36)</f>
      </c>
      <c r="BC32" s="586"/>
      <c r="BD32" s="586"/>
      <c r="BE32" s="579">
        <f>IF(Ergebniseingabe!BF36="","",Ergebniseingabe!BF36)</f>
      </c>
      <c r="BF32" s="580"/>
      <c r="BG32" s="70"/>
      <c r="BH32" s="15"/>
      <c r="BX32" s="63"/>
      <c r="BY32" s="63"/>
      <c r="BZ32" s="63"/>
      <c r="CA32" s="63"/>
      <c r="CB32" s="63"/>
      <c r="CC32" s="63"/>
      <c r="CD32" s="64"/>
      <c r="CE32" s="64"/>
      <c r="CF32" s="65"/>
      <c r="CG32" s="65"/>
      <c r="CH32" s="65"/>
      <c r="CI32" s="65"/>
      <c r="CJ32" s="65"/>
      <c r="CK32" s="64"/>
      <c r="CL32" s="64"/>
      <c r="CM32" s="63"/>
      <c r="CT32" s="75"/>
      <c r="CU32" s="63"/>
      <c r="CV32" s="63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604">
        <v>11</v>
      </c>
      <c r="C33" s="530"/>
      <c r="D33" s="530" t="str">
        <f>Ergebniseingabe!E37</f>
        <v>B</v>
      </c>
      <c r="E33" s="530"/>
      <c r="F33" s="530"/>
      <c r="G33" s="535">
        <f>Ergebniseingabe!H37</f>
        <v>0.6319444444444441</v>
      </c>
      <c r="H33" s="536"/>
      <c r="I33" s="536"/>
      <c r="J33" s="537"/>
      <c r="K33" s="607" t="str">
        <f>Ergebniseingabe!L37</f>
        <v>A-Jugend (w)</v>
      </c>
      <c r="L33" s="605"/>
      <c r="M33" s="605"/>
      <c r="N33" s="605"/>
      <c r="O33" s="605"/>
      <c r="P33" s="605"/>
      <c r="Q33" s="605"/>
      <c r="R33" s="605"/>
      <c r="S33" s="605"/>
      <c r="T33" s="605"/>
      <c r="U33" s="605"/>
      <c r="V33" s="605"/>
      <c r="W33" s="605"/>
      <c r="X33" s="605"/>
      <c r="Y33" s="605"/>
      <c r="Z33" s="605"/>
      <c r="AA33" s="605"/>
      <c r="AB33" s="605"/>
      <c r="AC33" s="605"/>
      <c r="AD33" s="605"/>
      <c r="AE33" s="605"/>
      <c r="AF33" s="192" t="s">
        <v>14</v>
      </c>
      <c r="AG33" s="605" t="str">
        <f>Ergebniseingabe!AH37</f>
        <v>SVM Senioren II</v>
      </c>
      <c r="AH33" s="605"/>
      <c r="AI33" s="605"/>
      <c r="AJ33" s="605"/>
      <c r="AK33" s="605"/>
      <c r="AL33" s="605"/>
      <c r="AM33" s="605"/>
      <c r="AN33" s="605"/>
      <c r="AO33" s="605"/>
      <c r="AP33" s="605"/>
      <c r="AQ33" s="605"/>
      <c r="AR33" s="605"/>
      <c r="AS33" s="605"/>
      <c r="AT33" s="605"/>
      <c r="AU33" s="605"/>
      <c r="AV33" s="605"/>
      <c r="AW33" s="605"/>
      <c r="AX33" s="605"/>
      <c r="AY33" s="605"/>
      <c r="AZ33" s="605"/>
      <c r="BA33" s="606"/>
      <c r="BB33" s="583">
        <f>IF(Ergebniseingabe!BC37="","",Ergebniseingabe!BC37)</f>
      </c>
      <c r="BC33" s="584"/>
      <c r="BD33" s="584"/>
      <c r="BE33" s="581">
        <f>IF(Ergebniseingabe!BF37="","",Ergebniseingabe!BF37)</f>
      </c>
      <c r="BF33" s="582"/>
      <c r="BG33" s="70"/>
      <c r="BH33" s="15"/>
      <c r="BX33" s="63"/>
      <c r="BY33" s="63"/>
      <c r="BZ33" s="63"/>
      <c r="CA33" s="63"/>
      <c r="CB33" s="63"/>
      <c r="CC33" s="63"/>
      <c r="CD33" s="64"/>
      <c r="CE33" s="64"/>
      <c r="CF33" s="65"/>
      <c r="CG33" s="65"/>
      <c r="CH33" s="65"/>
      <c r="CI33" s="65"/>
      <c r="CJ33" s="65"/>
      <c r="CK33" s="64"/>
      <c r="CL33" s="64"/>
      <c r="CM33" s="63"/>
      <c r="CN33" s="76"/>
      <c r="CO33" s="73"/>
      <c r="CP33" s="73"/>
      <c r="CQ33" s="73"/>
      <c r="CR33" s="74"/>
      <c r="CS33" s="73"/>
      <c r="CT33" s="75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M33" s="73"/>
      <c r="DN33" s="73"/>
      <c r="DP33" s="73"/>
      <c r="DQ33" s="73"/>
      <c r="DS33" s="73"/>
      <c r="DV33" s="73"/>
      <c r="DX33" s="75"/>
      <c r="DY33" s="75"/>
    </row>
    <row r="34" spans="2:107" s="11" customFormat="1" ht="20.25" customHeight="1" thickBot="1">
      <c r="B34" s="531">
        <v>12</v>
      </c>
      <c r="C34" s="529"/>
      <c r="D34" s="529" t="str">
        <f>Ergebniseingabe!E38</f>
        <v>B</v>
      </c>
      <c r="E34" s="529"/>
      <c r="F34" s="529"/>
      <c r="G34" s="532">
        <f>Ergebniseingabe!H38</f>
        <v>0.6409722222222218</v>
      </c>
      <c r="H34" s="533"/>
      <c r="I34" s="533"/>
      <c r="J34" s="534"/>
      <c r="K34" s="577" t="str">
        <f>Ergebniseingabe!L38</f>
        <v>A-Jugend (m)</v>
      </c>
      <c r="L34" s="578"/>
      <c r="M34" s="578"/>
      <c r="N34" s="578"/>
      <c r="O34" s="578"/>
      <c r="P34" s="578"/>
      <c r="Q34" s="578"/>
      <c r="R34" s="578"/>
      <c r="S34" s="578"/>
      <c r="T34" s="578"/>
      <c r="U34" s="578"/>
      <c r="V34" s="578"/>
      <c r="W34" s="578"/>
      <c r="X34" s="578"/>
      <c r="Y34" s="578"/>
      <c r="Z34" s="578"/>
      <c r="AA34" s="578"/>
      <c r="AB34" s="578"/>
      <c r="AC34" s="578"/>
      <c r="AD34" s="578"/>
      <c r="AE34" s="578"/>
      <c r="AF34" s="77" t="s">
        <v>14</v>
      </c>
      <c r="AG34" s="578" t="str">
        <f>Ergebniseingabe!AH38</f>
        <v>Eifelboyz</v>
      </c>
      <c r="AH34" s="578"/>
      <c r="AI34" s="578"/>
      <c r="AJ34" s="578"/>
      <c r="AK34" s="578"/>
      <c r="AL34" s="578"/>
      <c r="AM34" s="578"/>
      <c r="AN34" s="578"/>
      <c r="AO34" s="578"/>
      <c r="AP34" s="578"/>
      <c r="AQ34" s="578"/>
      <c r="AR34" s="578"/>
      <c r="AS34" s="578"/>
      <c r="AT34" s="578"/>
      <c r="AU34" s="578"/>
      <c r="AV34" s="578"/>
      <c r="AW34" s="578"/>
      <c r="AX34" s="578"/>
      <c r="AY34" s="578"/>
      <c r="AZ34" s="578"/>
      <c r="BA34" s="587"/>
      <c r="BB34" s="585">
        <f>IF(Ergebniseingabe!BC38="","",Ergebniseingabe!BC38)</f>
      </c>
      <c r="BC34" s="586"/>
      <c r="BD34" s="586"/>
      <c r="BE34" s="579">
        <f>IF(Ergebniseingabe!BF38="","",Ergebniseingabe!BF38)</f>
      </c>
      <c r="BF34" s="580"/>
      <c r="BG34" s="70"/>
      <c r="BH34" s="15"/>
      <c r="BX34" s="63"/>
      <c r="BY34" s="63"/>
      <c r="BZ34" s="63"/>
      <c r="CA34" s="63"/>
      <c r="CB34" s="63"/>
      <c r="CC34" s="63"/>
      <c r="CD34" s="64"/>
      <c r="CE34" s="64"/>
      <c r="CF34" s="65"/>
      <c r="CG34" s="65"/>
      <c r="CH34" s="65"/>
      <c r="CI34" s="65"/>
      <c r="CJ34" s="65"/>
      <c r="CK34" s="64"/>
      <c r="CL34" s="64"/>
      <c r="CM34" s="63"/>
      <c r="CN34" s="63"/>
      <c r="CO34" s="63"/>
      <c r="CP34" s="63"/>
      <c r="CQ34" s="63"/>
      <c r="CR34" s="63"/>
      <c r="CS34" s="63"/>
      <c r="CT34" s="75"/>
      <c r="CU34" s="63"/>
      <c r="CV34" s="63"/>
      <c r="CW34" s="12"/>
      <c r="CX34" s="12"/>
      <c r="CY34" s="12"/>
      <c r="CZ34" s="12"/>
      <c r="DA34" s="12"/>
      <c r="DB34" s="12"/>
      <c r="DC34" s="12"/>
    </row>
    <row r="35" spans="61:80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10:81" s="11" customFormat="1" ht="18" customHeight="1" thickBot="1">
      <c r="J36" s="59" t="s">
        <v>7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71"/>
      <c r="BX36" s="14"/>
      <c r="BY36" s="12"/>
      <c r="BZ36" s="12"/>
      <c r="CA36" s="12"/>
      <c r="CB36" s="12"/>
      <c r="CC36" s="12"/>
    </row>
    <row r="37" spans="2:80" s="11" customFormat="1" ht="18" customHeight="1">
      <c r="B37" s="78"/>
      <c r="C37" s="78"/>
      <c r="D37" s="78"/>
      <c r="E37" s="78"/>
      <c r="F37" s="78"/>
      <c r="G37" s="78"/>
      <c r="H37" s="78"/>
      <c r="J37" s="59"/>
      <c r="AG37" s="598" t="str">
        <f>L45</f>
        <v>SVM Senioren I</v>
      </c>
      <c r="AH37" s="589"/>
      <c r="AI37" s="599"/>
      <c r="AJ37" s="588" t="str">
        <f>L46</f>
        <v>SVM Senioren III</v>
      </c>
      <c r="AK37" s="589"/>
      <c r="AL37" s="599"/>
      <c r="AM37" s="588" t="str">
        <f>L47</f>
        <v>Esch</v>
      </c>
      <c r="AN37" s="589"/>
      <c r="AO37" s="599"/>
      <c r="AP37" s="588" t="str">
        <f>L48</f>
        <v>B-Jugend</v>
      </c>
      <c r="AQ37" s="589"/>
      <c r="AR37" s="590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71"/>
      <c r="BW37" s="14"/>
      <c r="BX37" s="12"/>
      <c r="BY37" s="12"/>
      <c r="BZ37" s="12"/>
      <c r="CA37" s="12"/>
      <c r="CB37" s="12"/>
    </row>
    <row r="38" spans="2:80" s="11" customFormat="1" ht="18" customHeight="1">
      <c r="B38" s="78"/>
      <c r="C38" s="78"/>
      <c r="D38" s="78"/>
      <c r="E38" s="78"/>
      <c r="F38" s="78"/>
      <c r="G38" s="78"/>
      <c r="H38" s="78"/>
      <c r="J38" s="59"/>
      <c r="AG38" s="600"/>
      <c r="AH38" s="592"/>
      <c r="AI38" s="601"/>
      <c r="AJ38" s="591"/>
      <c r="AK38" s="592"/>
      <c r="AL38" s="601"/>
      <c r="AM38" s="591"/>
      <c r="AN38" s="592"/>
      <c r="AO38" s="601"/>
      <c r="AP38" s="591"/>
      <c r="AQ38" s="592"/>
      <c r="AR38" s="593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71"/>
      <c r="BW38" s="14"/>
      <c r="BX38" s="12"/>
      <c r="BY38" s="12"/>
      <c r="BZ38" s="12"/>
      <c r="CA38" s="12"/>
      <c r="CB38" s="12"/>
    </row>
    <row r="39" spans="2:80" s="11" customFormat="1" ht="18" customHeight="1">
      <c r="B39" s="78"/>
      <c r="C39" s="78"/>
      <c r="D39" s="78"/>
      <c r="E39" s="78"/>
      <c r="F39" s="78"/>
      <c r="G39" s="78"/>
      <c r="H39" s="78"/>
      <c r="J39" s="59"/>
      <c r="AG39" s="600"/>
      <c r="AH39" s="592"/>
      <c r="AI39" s="601"/>
      <c r="AJ39" s="591"/>
      <c r="AK39" s="592"/>
      <c r="AL39" s="601"/>
      <c r="AM39" s="591"/>
      <c r="AN39" s="592"/>
      <c r="AO39" s="601"/>
      <c r="AP39" s="591"/>
      <c r="AQ39" s="592"/>
      <c r="AR39" s="593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71"/>
      <c r="BW39" s="14"/>
      <c r="BX39" s="12"/>
      <c r="BY39" s="12"/>
      <c r="BZ39" s="12"/>
      <c r="CA39" s="12"/>
      <c r="CB39" s="12"/>
    </row>
    <row r="40" spans="2:80" s="11" customFormat="1" ht="18" customHeight="1">
      <c r="B40" s="78"/>
      <c r="C40" s="78"/>
      <c r="D40" s="78"/>
      <c r="E40" s="78"/>
      <c r="F40" s="78"/>
      <c r="G40" s="78"/>
      <c r="H40" s="78"/>
      <c r="J40" s="59"/>
      <c r="AG40" s="600"/>
      <c r="AH40" s="592"/>
      <c r="AI40" s="601"/>
      <c r="AJ40" s="591"/>
      <c r="AK40" s="592"/>
      <c r="AL40" s="601"/>
      <c r="AM40" s="591"/>
      <c r="AN40" s="592"/>
      <c r="AO40" s="601"/>
      <c r="AP40" s="591"/>
      <c r="AQ40" s="592"/>
      <c r="AR40" s="593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71"/>
      <c r="BW40" s="14"/>
      <c r="BX40" s="12"/>
      <c r="BY40" s="12"/>
      <c r="BZ40" s="12"/>
      <c r="CA40" s="12"/>
      <c r="CB40" s="12"/>
    </row>
    <row r="41" spans="2:80" s="11" customFormat="1" ht="18" customHeight="1">
      <c r="B41" s="78"/>
      <c r="C41" s="78"/>
      <c r="D41" s="78"/>
      <c r="E41" s="78"/>
      <c r="F41" s="78"/>
      <c r="G41" s="78"/>
      <c r="H41" s="78"/>
      <c r="J41" s="59"/>
      <c r="AG41" s="600"/>
      <c r="AH41" s="592"/>
      <c r="AI41" s="601"/>
      <c r="AJ41" s="591"/>
      <c r="AK41" s="592"/>
      <c r="AL41" s="601"/>
      <c r="AM41" s="591"/>
      <c r="AN41" s="592"/>
      <c r="AO41" s="601"/>
      <c r="AP41" s="591"/>
      <c r="AQ41" s="592"/>
      <c r="AR41" s="593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71"/>
      <c r="BW41" s="14"/>
      <c r="BX41" s="12"/>
      <c r="BY41" s="12"/>
      <c r="BZ41" s="12"/>
      <c r="CA41" s="12"/>
      <c r="CB41" s="12"/>
    </row>
    <row r="42" spans="2:80" s="11" customFormat="1" ht="18" customHeight="1">
      <c r="B42" s="78"/>
      <c r="C42" s="78"/>
      <c r="D42" s="78"/>
      <c r="E42" s="78"/>
      <c r="F42" s="78"/>
      <c r="G42" s="78"/>
      <c r="H42" s="78"/>
      <c r="J42" s="59"/>
      <c r="AG42" s="600"/>
      <c r="AH42" s="592"/>
      <c r="AI42" s="601"/>
      <c r="AJ42" s="591"/>
      <c r="AK42" s="592"/>
      <c r="AL42" s="601"/>
      <c r="AM42" s="591"/>
      <c r="AN42" s="592"/>
      <c r="AO42" s="601"/>
      <c r="AP42" s="591"/>
      <c r="AQ42" s="592"/>
      <c r="AR42" s="593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71"/>
      <c r="BW42" s="14"/>
      <c r="BX42" s="12"/>
      <c r="BY42" s="12"/>
      <c r="BZ42" s="12"/>
      <c r="CA42" s="12"/>
      <c r="CB42" s="12"/>
    </row>
    <row r="43" spans="2:80" s="11" customFormat="1" ht="18" customHeight="1" thickBot="1">
      <c r="B43" s="522" t="s">
        <v>16</v>
      </c>
      <c r="C43" s="523"/>
      <c r="D43" s="523"/>
      <c r="E43" s="523"/>
      <c r="F43" s="523"/>
      <c r="G43" s="523"/>
      <c r="H43" s="524"/>
      <c r="AG43" s="600"/>
      <c r="AH43" s="592"/>
      <c r="AI43" s="601"/>
      <c r="AJ43" s="591"/>
      <c r="AK43" s="592"/>
      <c r="AL43" s="601"/>
      <c r="AM43" s="591"/>
      <c r="AN43" s="592"/>
      <c r="AO43" s="601"/>
      <c r="AP43" s="591"/>
      <c r="AQ43" s="592"/>
      <c r="AR43" s="593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71"/>
      <c r="BW43" s="14"/>
      <c r="BX43" s="12"/>
      <c r="BY43" s="12"/>
      <c r="BZ43" s="12"/>
      <c r="CA43" s="12"/>
      <c r="CB43" s="12"/>
    </row>
    <row r="44" spans="2:107" s="11" customFormat="1" ht="18" customHeight="1" thickBot="1">
      <c r="B44" s="525" t="s">
        <v>17</v>
      </c>
      <c r="C44" s="526"/>
      <c r="D44" s="526"/>
      <c r="E44" s="527"/>
      <c r="F44" s="525" t="s">
        <v>18</v>
      </c>
      <c r="G44" s="526"/>
      <c r="H44" s="527"/>
      <c r="J44" s="436" t="str">
        <f>Ergebniseingabe!K48</f>
        <v>Gruppe A</v>
      </c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7"/>
      <c r="Y44" s="437"/>
      <c r="Z44" s="437"/>
      <c r="AA44" s="437"/>
      <c r="AB44" s="437"/>
      <c r="AC44" s="437"/>
      <c r="AD44" s="437"/>
      <c r="AE44" s="437"/>
      <c r="AF44" s="438"/>
      <c r="AG44" s="602"/>
      <c r="AH44" s="595"/>
      <c r="AI44" s="603"/>
      <c r="AJ44" s="594"/>
      <c r="AK44" s="595"/>
      <c r="AL44" s="603"/>
      <c r="AM44" s="594"/>
      <c r="AN44" s="595"/>
      <c r="AO44" s="603"/>
      <c r="AP44" s="594"/>
      <c r="AQ44" s="595"/>
      <c r="AR44" s="596"/>
      <c r="AS44" s="437" t="s">
        <v>19</v>
      </c>
      <c r="AT44" s="437"/>
      <c r="AU44" s="597"/>
      <c r="AV44" s="566" t="s">
        <v>20</v>
      </c>
      <c r="AW44" s="437"/>
      <c r="AX44" s="597"/>
      <c r="AY44" s="566" t="s">
        <v>21</v>
      </c>
      <c r="AZ44" s="437"/>
      <c r="BA44" s="597"/>
      <c r="BB44" s="566" t="s">
        <v>22</v>
      </c>
      <c r="BC44" s="437"/>
      <c r="BD44" s="597"/>
      <c r="BE44" s="567" t="s">
        <v>23</v>
      </c>
      <c r="BF44" s="567"/>
      <c r="BG44" s="567"/>
      <c r="BH44" s="567"/>
      <c r="BI44" s="567"/>
      <c r="BJ44" s="567" t="s">
        <v>24</v>
      </c>
      <c r="BK44" s="567"/>
      <c r="BL44" s="566"/>
      <c r="BM44" s="566" t="s">
        <v>25</v>
      </c>
      <c r="BN44" s="437"/>
      <c r="BO44" s="438"/>
      <c r="CG44" s="71"/>
      <c r="CH44" s="71"/>
      <c r="CI44" s="71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71"/>
      <c r="CX44" s="14"/>
      <c r="CY44" s="12"/>
      <c r="CZ44" s="12"/>
      <c r="DA44" s="12"/>
      <c r="DB44" s="12"/>
      <c r="DC44" s="12"/>
    </row>
    <row r="45" spans="2:107" s="11" customFormat="1" ht="20.25" customHeight="1">
      <c r="B45" s="500">
        <f>IF(Ergebniseingabe!C49="","",Ergebniseingabe!C49)</f>
      </c>
      <c r="C45" s="500"/>
      <c r="D45" s="500"/>
      <c r="E45" s="500"/>
      <c r="F45" s="500">
        <f>IF(Ergebniseingabe!G49="","",Ergebniseingabe!G49)</f>
      </c>
      <c r="G45" s="500"/>
      <c r="H45" s="500"/>
      <c r="J45" s="451">
        <f>Ergebniseingabe!K49</f>
      </c>
      <c r="K45" s="452"/>
      <c r="L45" s="449" t="str">
        <f>Ergebniseingabe!M49</f>
        <v>SVM Senioren I</v>
      </c>
      <c r="M45" s="450"/>
      <c r="N45" s="450"/>
      <c r="O45" s="450"/>
      <c r="P45" s="450"/>
      <c r="Q45" s="450"/>
      <c r="R45" s="450"/>
      <c r="S45" s="450"/>
      <c r="T45" s="450"/>
      <c r="U45" s="450"/>
      <c r="V45" s="450"/>
      <c r="W45" s="450"/>
      <c r="X45" s="450"/>
      <c r="Y45" s="450"/>
      <c r="Z45" s="450"/>
      <c r="AA45" s="450"/>
      <c r="AB45" s="450"/>
      <c r="AC45" s="450"/>
      <c r="AD45" s="450"/>
      <c r="AE45" s="450"/>
      <c r="AF45" s="450"/>
      <c r="AG45" s="456"/>
      <c r="AH45" s="456"/>
      <c r="AI45" s="457"/>
      <c r="AJ45" s="453">
        <f>Ergebniseingabe!AK49</f>
      </c>
      <c r="AK45" s="454"/>
      <c r="AL45" s="455"/>
      <c r="AM45" s="453">
        <f>Ergebniseingabe!AN49</f>
      </c>
      <c r="AN45" s="454"/>
      <c r="AO45" s="455"/>
      <c r="AP45" s="434">
        <f>Ergebniseingabe!AQ49</f>
      </c>
      <c r="AQ45" s="435"/>
      <c r="AR45" s="435"/>
      <c r="AS45" s="435">
        <f>Ergebniseingabe!AT49</f>
      </c>
      <c r="AT45" s="435"/>
      <c r="AU45" s="570"/>
      <c r="AV45" s="467">
        <f>Ergebniseingabe!AW49</f>
      </c>
      <c r="AW45" s="467"/>
      <c r="AX45" s="467"/>
      <c r="AY45" s="467">
        <f>Ergebniseingabe!AZ49</f>
      </c>
      <c r="AZ45" s="467"/>
      <c r="BA45" s="467"/>
      <c r="BB45" s="467">
        <f>Ergebniseingabe!BC49</f>
      </c>
      <c r="BC45" s="467"/>
      <c r="BD45" s="467"/>
      <c r="BE45" s="454">
        <f>Ergebniseingabe!BF49</f>
      </c>
      <c r="BF45" s="454"/>
      <c r="BG45" s="79">
        <f>Ergebniseingabe!BH49</f>
      </c>
      <c r="BH45" s="455">
        <f>Ergebniseingabe!BI49</f>
      </c>
      <c r="BI45" s="467"/>
      <c r="BJ45" s="568">
        <f>Ergebniseingabe!BK49</f>
      </c>
      <c r="BK45" s="568"/>
      <c r="BL45" s="569"/>
      <c r="BM45" s="467">
        <f>Ergebniseingabe!BN49</f>
      </c>
      <c r="BN45" s="467"/>
      <c r="BO45" s="434"/>
      <c r="CG45" s="71"/>
      <c r="CH45" s="71"/>
      <c r="CI45" s="71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71"/>
      <c r="CX45" s="14"/>
      <c r="CY45" s="12"/>
      <c r="CZ45" s="12"/>
      <c r="DA45" s="12"/>
      <c r="DB45" s="12"/>
      <c r="DC45" s="12"/>
    </row>
    <row r="46" spans="2:107" s="11" customFormat="1" ht="20.25" customHeight="1">
      <c r="B46" s="500">
        <f>IF(Ergebniseingabe!C50="","",Ergebniseingabe!C50)</f>
      </c>
      <c r="C46" s="500"/>
      <c r="D46" s="500"/>
      <c r="E46" s="500"/>
      <c r="F46" s="500">
        <f>IF(Ergebniseingabe!G50="","",Ergebniseingabe!G50)</f>
      </c>
      <c r="G46" s="500"/>
      <c r="H46" s="500"/>
      <c r="J46" s="538">
        <f>Ergebniseingabe!K50</f>
      </c>
      <c r="K46" s="539"/>
      <c r="L46" s="441" t="str">
        <f>Ergebniseingabe!M50</f>
        <v>SVM Senioren III</v>
      </c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  <c r="AF46" s="442"/>
      <c r="AG46" s="468">
        <f>Ergebniseingabe!AH50</f>
      </c>
      <c r="AH46" s="468"/>
      <c r="AI46" s="469"/>
      <c r="AJ46" s="461"/>
      <c r="AK46" s="462"/>
      <c r="AL46" s="463"/>
      <c r="AM46" s="458">
        <f>Ergebniseingabe!AN50</f>
      </c>
      <c r="AN46" s="459"/>
      <c r="AO46" s="460"/>
      <c r="AP46" s="473">
        <f>Ergebniseingabe!AQ50</f>
      </c>
      <c r="AQ46" s="468"/>
      <c r="AR46" s="468"/>
      <c r="AS46" s="468">
        <f>Ergebniseingabe!AT50</f>
      </c>
      <c r="AT46" s="468"/>
      <c r="AU46" s="469"/>
      <c r="AV46" s="466">
        <f>Ergebniseingabe!AW50</f>
      </c>
      <c r="AW46" s="466"/>
      <c r="AX46" s="466"/>
      <c r="AY46" s="466">
        <f>Ergebniseingabe!AZ50</f>
      </c>
      <c r="AZ46" s="466"/>
      <c r="BA46" s="466"/>
      <c r="BB46" s="466">
        <f>Ergebniseingabe!BC50</f>
      </c>
      <c r="BC46" s="466"/>
      <c r="BD46" s="466"/>
      <c r="BE46" s="459">
        <f>Ergebniseingabe!BF50</f>
      </c>
      <c r="BF46" s="459"/>
      <c r="BG46" s="80">
        <f>Ergebniseingabe!BH50</f>
      </c>
      <c r="BH46" s="460">
        <f>Ergebniseingabe!BI50</f>
      </c>
      <c r="BI46" s="466"/>
      <c r="BJ46" s="564">
        <f>Ergebniseingabe!BK50</f>
      </c>
      <c r="BK46" s="564"/>
      <c r="BL46" s="565"/>
      <c r="BM46" s="466">
        <f>Ergebniseingabe!BN50</f>
      </c>
      <c r="BN46" s="466"/>
      <c r="BO46" s="473"/>
      <c r="CG46" s="71"/>
      <c r="CH46" s="71"/>
      <c r="CI46" s="71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71"/>
      <c r="CX46" s="14"/>
      <c r="CY46" s="12"/>
      <c r="CZ46" s="12"/>
      <c r="DA46" s="12"/>
      <c r="DB46" s="12"/>
      <c r="DC46" s="12"/>
    </row>
    <row r="47" spans="2:107" s="11" customFormat="1" ht="20.25" customHeight="1">
      <c r="B47" s="500">
        <f>IF(Ergebniseingabe!C51="","",Ergebniseingabe!C51)</f>
      </c>
      <c r="C47" s="500"/>
      <c r="D47" s="500"/>
      <c r="E47" s="500"/>
      <c r="F47" s="500">
        <f>IF(Ergebniseingabe!G51="","",Ergebniseingabe!G51)</f>
      </c>
      <c r="G47" s="500"/>
      <c r="H47" s="500"/>
      <c r="J47" s="538">
        <f>Ergebniseingabe!K51</f>
      </c>
      <c r="K47" s="539"/>
      <c r="L47" s="441" t="str">
        <f>Ergebniseingabe!M51</f>
        <v>Esch</v>
      </c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68">
        <f>Ergebniseingabe!AH51</f>
      </c>
      <c r="AH47" s="468"/>
      <c r="AI47" s="469"/>
      <c r="AJ47" s="458">
        <f>Ergebniseingabe!AK51</f>
      </c>
      <c r="AK47" s="459"/>
      <c r="AL47" s="460"/>
      <c r="AM47" s="461"/>
      <c r="AN47" s="462"/>
      <c r="AO47" s="463"/>
      <c r="AP47" s="473">
        <f>Ergebniseingabe!AQ51</f>
      </c>
      <c r="AQ47" s="468"/>
      <c r="AR47" s="468"/>
      <c r="AS47" s="468">
        <f>Ergebniseingabe!AT51</f>
      </c>
      <c r="AT47" s="468"/>
      <c r="AU47" s="469"/>
      <c r="AV47" s="466">
        <f>Ergebniseingabe!AW51</f>
      </c>
      <c r="AW47" s="466"/>
      <c r="AX47" s="466"/>
      <c r="AY47" s="466">
        <f>Ergebniseingabe!AZ51</f>
      </c>
      <c r="AZ47" s="466"/>
      <c r="BA47" s="466"/>
      <c r="BB47" s="466">
        <f>Ergebniseingabe!BC51</f>
      </c>
      <c r="BC47" s="466"/>
      <c r="BD47" s="466"/>
      <c r="BE47" s="459">
        <f>Ergebniseingabe!BF51</f>
      </c>
      <c r="BF47" s="459"/>
      <c r="BG47" s="80">
        <f>Ergebniseingabe!BH51</f>
      </c>
      <c r="BH47" s="460">
        <f>Ergebniseingabe!BI51</f>
      </c>
      <c r="BI47" s="466"/>
      <c r="BJ47" s="564">
        <f>Ergebniseingabe!BK51</f>
      </c>
      <c r="BK47" s="564"/>
      <c r="BL47" s="565"/>
      <c r="BM47" s="466">
        <f>Ergebniseingabe!BN51</f>
      </c>
      <c r="BN47" s="466"/>
      <c r="BO47" s="473"/>
      <c r="CG47" s="71"/>
      <c r="CH47" s="71"/>
      <c r="CI47" s="71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71"/>
      <c r="CX47" s="14"/>
      <c r="CY47" s="12"/>
      <c r="CZ47" s="12"/>
      <c r="DA47" s="12"/>
      <c r="DB47" s="12"/>
      <c r="DC47" s="12"/>
    </row>
    <row r="48" spans="2:107" s="11" customFormat="1" ht="20.25" customHeight="1" thickBot="1">
      <c r="B48" s="500">
        <f>IF(Ergebniseingabe!C52="","",Ergebniseingabe!C52)</f>
      </c>
      <c r="C48" s="500"/>
      <c r="D48" s="500"/>
      <c r="E48" s="500"/>
      <c r="F48" s="500">
        <f>IF(Ergebniseingabe!G52="","",Ergebniseingabe!G52)</f>
      </c>
      <c r="G48" s="500"/>
      <c r="H48" s="500"/>
      <c r="J48" s="614">
        <f>Ergebniseingabe!K52</f>
      </c>
      <c r="K48" s="615"/>
      <c r="L48" s="439" t="str">
        <f>Ergebniseingabe!M52</f>
        <v>B-Jugend</v>
      </c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64">
        <f>Ergebniseingabe!AH52</f>
      </c>
      <c r="AH48" s="464"/>
      <c r="AI48" s="465"/>
      <c r="AJ48" s="470">
        <f>Ergebniseingabe!AK52</f>
      </c>
      <c r="AK48" s="471"/>
      <c r="AL48" s="472"/>
      <c r="AM48" s="470">
        <f>Ergebniseingabe!AN52</f>
      </c>
      <c r="AN48" s="471"/>
      <c r="AO48" s="472"/>
      <c r="AP48" s="474"/>
      <c r="AQ48" s="475"/>
      <c r="AR48" s="475"/>
      <c r="AS48" s="464">
        <f>Ergebniseingabe!AT52</f>
      </c>
      <c r="AT48" s="464"/>
      <c r="AU48" s="465"/>
      <c r="AV48" s="543">
        <f>Ergebniseingabe!AW52</f>
      </c>
      <c r="AW48" s="543"/>
      <c r="AX48" s="543"/>
      <c r="AY48" s="543">
        <f>Ergebniseingabe!AZ52</f>
      </c>
      <c r="AZ48" s="543"/>
      <c r="BA48" s="543"/>
      <c r="BB48" s="543">
        <f>Ergebniseingabe!BC52</f>
      </c>
      <c r="BC48" s="543"/>
      <c r="BD48" s="543"/>
      <c r="BE48" s="471">
        <f>Ergebniseingabe!BF52</f>
      </c>
      <c r="BF48" s="471"/>
      <c r="BG48" s="81">
        <f>Ergebniseingabe!BH52</f>
      </c>
      <c r="BH48" s="472">
        <f>Ergebniseingabe!BI52</f>
      </c>
      <c r="BI48" s="543"/>
      <c r="BJ48" s="575">
        <f>Ergebniseingabe!BK52</f>
      </c>
      <c r="BK48" s="575"/>
      <c r="BL48" s="576"/>
      <c r="BM48" s="543">
        <f>Ergebniseingabe!BN52</f>
      </c>
      <c r="BN48" s="543"/>
      <c r="BO48" s="571"/>
      <c r="CG48" s="71"/>
      <c r="CH48" s="71"/>
      <c r="CI48" s="71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 thickBot="1">
      <c r="B49" s="82"/>
      <c r="C49" s="82"/>
      <c r="D49" s="82"/>
      <c r="E49" s="82"/>
      <c r="F49" s="82"/>
      <c r="G49" s="82"/>
      <c r="H49" s="82"/>
      <c r="J49" s="83"/>
      <c r="K49" s="83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6"/>
      <c r="BL49" s="86"/>
      <c r="BM49" s="85"/>
      <c r="BN49" s="85"/>
      <c r="BO49" s="85"/>
      <c r="CG49" s="71"/>
      <c r="CH49" s="71"/>
      <c r="CI49" s="71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87"/>
      <c r="C50" s="87"/>
      <c r="D50" s="87"/>
      <c r="E50" s="87"/>
      <c r="F50" s="87"/>
      <c r="G50" s="87"/>
      <c r="H50" s="87"/>
      <c r="J50" s="88"/>
      <c r="K50" s="8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556" t="str">
        <f>L58</f>
        <v>SVM Senioren II</v>
      </c>
      <c r="AH50" s="548"/>
      <c r="AI50" s="549"/>
      <c r="AJ50" s="547" t="str">
        <f>L59</f>
        <v>Eifelboyz</v>
      </c>
      <c r="AK50" s="548"/>
      <c r="AL50" s="549"/>
      <c r="AM50" s="547" t="str">
        <f>L60</f>
        <v>A-Jugend (m)</v>
      </c>
      <c r="AN50" s="548"/>
      <c r="AO50" s="549"/>
      <c r="AP50" s="547" t="str">
        <f>L61</f>
        <v>A-Jugend (w)</v>
      </c>
      <c r="AQ50" s="548"/>
      <c r="AR50" s="559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91"/>
      <c r="BL50" s="91"/>
      <c r="BM50" s="90"/>
      <c r="BN50" s="90"/>
      <c r="BO50" s="90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87"/>
      <c r="C51" s="87"/>
      <c r="D51" s="87"/>
      <c r="E51" s="87"/>
      <c r="F51" s="87"/>
      <c r="G51" s="87"/>
      <c r="H51" s="87"/>
      <c r="J51" s="88"/>
      <c r="K51" s="8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557"/>
      <c r="AH51" s="551"/>
      <c r="AI51" s="552"/>
      <c r="AJ51" s="550"/>
      <c r="AK51" s="551"/>
      <c r="AL51" s="552"/>
      <c r="AM51" s="550"/>
      <c r="AN51" s="551"/>
      <c r="AO51" s="552"/>
      <c r="AP51" s="550"/>
      <c r="AQ51" s="551"/>
      <c r="AR51" s="56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1"/>
      <c r="BK51" s="91"/>
      <c r="BL51" s="91"/>
      <c r="BM51" s="90"/>
      <c r="BN51" s="90"/>
      <c r="BO51" s="90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87"/>
      <c r="C52" s="87"/>
      <c r="D52" s="87"/>
      <c r="E52" s="87"/>
      <c r="F52" s="87"/>
      <c r="G52" s="87"/>
      <c r="H52" s="87"/>
      <c r="J52" s="88"/>
      <c r="K52" s="8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557"/>
      <c r="AH52" s="551"/>
      <c r="AI52" s="552"/>
      <c r="AJ52" s="550"/>
      <c r="AK52" s="551"/>
      <c r="AL52" s="552"/>
      <c r="AM52" s="550"/>
      <c r="AN52" s="551"/>
      <c r="AO52" s="552"/>
      <c r="AP52" s="550"/>
      <c r="AQ52" s="551"/>
      <c r="AR52" s="56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1"/>
      <c r="BK52" s="91"/>
      <c r="BL52" s="91"/>
      <c r="BM52" s="90"/>
      <c r="BN52" s="90"/>
      <c r="BO52" s="90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87"/>
      <c r="C53" s="87"/>
      <c r="D53" s="87"/>
      <c r="E53" s="87"/>
      <c r="F53" s="87"/>
      <c r="G53" s="87"/>
      <c r="H53" s="87"/>
      <c r="J53" s="88"/>
      <c r="K53" s="8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557"/>
      <c r="AH53" s="551"/>
      <c r="AI53" s="552"/>
      <c r="AJ53" s="550"/>
      <c r="AK53" s="551"/>
      <c r="AL53" s="552"/>
      <c r="AM53" s="550"/>
      <c r="AN53" s="551"/>
      <c r="AO53" s="552"/>
      <c r="AP53" s="550"/>
      <c r="AQ53" s="551"/>
      <c r="AR53" s="56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1"/>
      <c r="BK53" s="91"/>
      <c r="BL53" s="91"/>
      <c r="BM53" s="90"/>
      <c r="BN53" s="90"/>
      <c r="BO53" s="90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87"/>
      <c r="C54" s="87"/>
      <c r="D54" s="87"/>
      <c r="E54" s="87"/>
      <c r="F54" s="87"/>
      <c r="G54" s="87"/>
      <c r="H54" s="87"/>
      <c r="J54" s="88"/>
      <c r="K54" s="8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557"/>
      <c r="AH54" s="551"/>
      <c r="AI54" s="552"/>
      <c r="AJ54" s="550"/>
      <c r="AK54" s="551"/>
      <c r="AL54" s="552"/>
      <c r="AM54" s="550"/>
      <c r="AN54" s="551"/>
      <c r="AO54" s="552"/>
      <c r="AP54" s="550"/>
      <c r="AQ54" s="551"/>
      <c r="AR54" s="56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1"/>
      <c r="BK54" s="91"/>
      <c r="BL54" s="91"/>
      <c r="BM54" s="90"/>
      <c r="BN54" s="90"/>
      <c r="BO54" s="90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87"/>
      <c r="C55" s="87"/>
      <c r="D55" s="87"/>
      <c r="E55" s="87"/>
      <c r="F55" s="87"/>
      <c r="G55" s="87"/>
      <c r="H55" s="87"/>
      <c r="J55" s="88"/>
      <c r="K55" s="8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557"/>
      <c r="AH55" s="551"/>
      <c r="AI55" s="552"/>
      <c r="AJ55" s="550"/>
      <c r="AK55" s="551"/>
      <c r="AL55" s="552"/>
      <c r="AM55" s="550"/>
      <c r="AN55" s="551"/>
      <c r="AO55" s="552"/>
      <c r="AP55" s="550"/>
      <c r="AQ55" s="551"/>
      <c r="AR55" s="56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1"/>
      <c r="BK55" s="91"/>
      <c r="BL55" s="91"/>
      <c r="BM55" s="90"/>
      <c r="BN55" s="90"/>
      <c r="BO55" s="90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 thickBot="1">
      <c r="B56" s="522" t="s">
        <v>16</v>
      </c>
      <c r="C56" s="523"/>
      <c r="D56" s="523"/>
      <c r="E56" s="523"/>
      <c r="F56" s="523"/>
      <c r="G56" s="523"/>
      <c r="H56" s="524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557"/>
      <c r="AH56" s="551"/>
      <c r="AI56" s="552"/>
      <c r="AJ56" s="550"/>
      <c r="AK56" s="551"/>
      <c r="AL56" s="552"/>
      <c r="AM56" s="550"/>
      <c r="AN56" s="551"/>
      <c r="AO56" s="552"/>
      <c r="AP56" s="550"/>
      <c r="AQ56" s="551"/>
      <c r="AR56" s="560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 thickBot="1">
      <c r="B57" s="525" t="s">
        <v>17</v>
      </c>
      <c r="C57" s="526"/>
      <c r="D57" s="526"/>
      <c r="E57" s="527"/>
      <c r="F57" s="525" t="s">
        <v>18</v>
      </c>
      <c r="G57" s="526"/>
      <c r="H57" s="527"/>
      <c r="J57" s="540" t="str">
        <f>Ergebniseingabe!K61</f>
        <v>Gruppe B</v>
      </c>
      <c r="K57" s="541"/>
      <c r="L57" s="541"/>
      <c r="M57" s="541"/>
      <c r="N57" s="541"/>
      <c r="O57" s="541"/>
      <c r="P57" s="541"/>
      <c r="Q57" s="541"/>
      <c r="R57" s="541"/>
      <c r="S57" s="541"/>
      <c r="T57" s="541"/>
      <c r="U57" s="541"/>
      <c r="V57" s="541"/>
      <c r="W57" s="541"/>
      <c r="X57" s="541"/>
      <c r="Y57" s="541"/>
      <c r="Z57" s="541"/>
      <c r="AA57" s="541"/>
      <c r="AB57" s="541"/>
      <c r="AC57" s="541"/>
      <c r="AD57" s="541"/>
      <c r="AE57" s="541"/>
      <c r="AF57" s="542"/>
      <c r="AG57" s="558"/>
      <c r="AH57" s="554"/>
      <c r="AI57" s="555"/>
      <c r="AJ57" s="553"/>
      <c r="AK57" s="554"/>
      <c r="AL57" s="555"/>
      <c r="AM57" s="553"/>
      <c r="AN57" s="554"/>
      <c r="AO57" s="555"/>
      <c r="AP57" s="553"/>
      <c r="AQ57" s="554"/>
      <c r="AR57" s="561"/>
      <c r="AS57" s="563" t="s">
        <v>19</v>
      </c>
      <c r="AT57" s="562"/>
      <c r="AU57" s="562"/>
      <c r="AV57" s="562" t="s">
        <v>20</v>
      </c>
      <c r="AW57" s="562"/>
      <c r="AX57" s="562"/>
      <c r="AY57" s="562" t="s">
        <v>21</v>
      </c>
      <c r="AZ57" s="562"/>
      <c r="BA57" s="562"/>
      <c r="BB57" s="562" t="s">
        <v>22</v>
      </c>
      <c r="BC57" s="562"/>
      <c r="BD57" s="562"/>
      <c r="BE57" s="562" t="s">
        <v>23</v>
      </c>
      <c r="BF57" s="562"/>
      <c r="BG57" s="562"/>
      <c r="BH57" s="562"/>
      <c r="BI57" s="562"/>
      <c r="BJ57" s="562" t="s">
        <v>24</v>
      </c>
      <c r="BK57" s="562"/>
      <c r="BL57" s="572"/>
      <c r="BM57" s="562" t="s">
        <v>25</v>
      </c>
      <c r="BN57" s="562"/>
      <c r="BO57" s="573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433">
        <f>IF(Ergebniseingabe!C62="","",Ergebniseingabe!C62)</f>
      </c>
      <c r="C58" s="433"/>
      <c r="D58" s="433"/>
      <c r="E58" s="433"/>
      <c r="F58" s="433">
        <f>IF(Ergebniseingabe!G62="","",Ergebniseingabe!G62)</f>
      </c>
      <c r="G58" s="433"/>
      <c r="H58" s="433"/>
      <c r="J58" s="451">
        <f>Ergebniseingabe!K62</f>
      </c>
      <c r="K58" s="452"/>
      <c r="L58" s="449" t="str">
        <f>Ergebniseingabe!M62</f>
        <v>SVM Senioren II</v>
      </c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0"/>
      <c r="AA58" s="450"/>
      <c r="AB58" s="450"/>
      <c r="AC58" s="450"/>
      <c r="AD58" s="450"/>
      <c r="AE58" s="450"/>
      <c r="AF58" s="450"/>
      <c r="AG58" s="456"/>
      <c r="AH58" s="456"/>
      <c r="AI58" s="457"/>
      <c r="AJ58" s="467">
        <f>Ergebniseingabe!AK62</f>
      </c>
      <c r="AK58" s="467"/>
      <c r="AL58" s="467"/>
      <c r="AM58" s="467">
        <f>Ergebniseingabe!AN62</f>
      </c>
      <c r="AN58" s="467"/>
      <c r="AO58" s="467"/>
      <c r="AP58" s="434">
        <f>Ergebniseingabe!AQ62</f>
      </c>
      <c r="AQ58" s="435"/>
      <c r="AR58" s="435"/>
      <c r="AS58" s="435">
        <f>Ergebniseingabe!AT62</f>
      </c>
      <c r="AT58" s="435"/>
      <c r="AU58" s="570"/>
      <c r="AV58" s="453">
        <f>Ergebniseingabe!AW62</f>
      </c>
      <c r="AW58" s="454"/>
      <c r="AX58" s="455"/>
      <c r="AY58" s="453">
        <f>Ergebniseingabe!AZ62</f>
      </c>
      <c r="AZ58" s="454"/>
      <c r="BA58" s="455"/>
      <c r="BB58" s="453">
        <f>Ergebniseingabe!BC62</f>
      </c>
      <c r="BC58" s="454"/>
      <c r="BD58" s="455"/>
      <c r="BE58" s="454">
        <f>Ergebniseingabe!BF62</f>
      </c>
      <c r="BF58" s="454"/>
      <c r="BG58" s="79">
        <f>Ergebniseingabe!BH62</f>
      </c>
      <c r="BH58" s="455">
        <f>Ergebniseingabe!BI62</f>
      </c>
      <c r="BI58" s="467"/>
      <c r="BJ58" s="568">
        <f>Ergebniseingabe!BK62</f>
      </c>
      <c r="BK58" s="568"/>
      <c r="BL58" s="569"/>
      <c r="BM58" s="453">
        <f>Ergebniseingabe!BN62</f>
      </c>
      <c r="BN58" s="454"/>
      <c r="BO58" s="574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93" customFormat="1" ht="20.25" customHeight="1">
      <c r="B59" s="433">
        <f>IF(Ergebniseingabe!C63="","",Ergebniseingabe!C63)</f>
      </c>
      <c r="C59" s="433"/>
      <c r="D59" s="433"/>
      <c r="E59" s="433"/>
      <c r="F59" s="433">
        <f>IF(Ergebniseingabe!G63="","",Ergebniseingabe!G63)</f>
      </c>
      <c r="G59" s="433"/>
      <c r="H59" s="433"/>
      <c r="J59" s="538">
        <f>Ergebniseingabe!K63</f>
      </c>
      <c r="K59" s="539"/>
      <c r="L59" s="441" t="str">
        <f>Ergebniseingabe!M63</f>
        <v>Eifelboyz</v>
      </c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468">
        <f>Ergebniseingabe!AH63</f>
      </c>
      <c r="AH59" s="468"/>
      <c r="AI59" s="469"/>
      <c r="AJ59" s="544"/>
      <c r="AK59" s="544"/>
      <c r="AL59" s="544"/>
      <c r="AM59" s="466">
        <f>Ergebniseingabe!AN63</f>
      </c>
      <c r="AN59" s="466"/>
      <c r="AO59" s="466"/>
      <c r="AP59" s="473">
        <f>Ergebniseingabe!AQ63</f>
      </c>
      <c r="AQ59" s="468"/>
      <c r="AR59" s="468"/>
      <c r="AS59" s="468">
        <f>Ergebniseingabe!AT63</f>
      </c>
      <c r="AT59" s="468"/>
      <c r="AU59" s="469"/>
      <c r="AV59" s="458">
        <f>Ergebniseingabe!AW63</f>
      </c>
      <c r="AW59" s="459"/>
      <c r="AX59" s="460"/>
      <c r="AY59" s="458">
        <f>Ergebniseingabe!AZ63</f>
      </c>
      <c r="AZ59" s="459"/>
      <c r="BA59" s="460"/>
      <c r="BB59" s="458">
        <f>Ergebniseingabe!BC63</f>
      </c>
      <c r="BC59" s="459"/>
      <c r="BD59" s="460"/>
      <c r="BE59" s="459">
        <f>Ergebniseingabe!BF63</f>
      </c>
      <c r="BF59" s="459"/>
      <c r="BG59" s="80">
        <f>Ergebniseingabe!BH63</f>
      </c>
      <c r="BH59" s="460">
        <f>Ergebniseingabe!BI63</f>
      </c>
      <c r="BI59" s="466"/>
      <c r="BJ59" s="564">
        <f>Ergebniseingabe!BK63</f>
      </c>
      <c r="BK59" s="564"/>
      <c r="BL59" s="565"/>
      <c r="BM59" s="458">
        <f>Ergebniseingabe!BN63</f>
      </c>
      <c r="BN59" s="459"/>
      <c r="BO59" s="546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X59" s="94"/>
      <c r="CY59" s="94"/>
      <c r="CZ59" s="94"/>
      <c r="DA59" s="94"/>
      <c r="DB59" s="94"/>
      <c r="DC59" s="94"/>
    </row>
    <row r="60" spans="2:107" s="11" customFormat="1" ht="20.25" customHeight="1">
      <c r="B60" s="433">
        <f>IF(Ergebniseingabe!C64="","",Ergebniseingabe!C64)</f>
      </c>
      <c r="C60" s="433"/>
      <c r="D60" s="433"/>
      <c r="E60" s="433"/>
      <c r="F60" s="433">
        <f>IF(Ergebniseingabe!G64="","",Ergebniseingabe!G64)</f>
      </c>
      <c r="G60" s="433"/>
      <c r="H60" s="433"/>
      <c r="J60" s="538">
        <f>Ergebniseingabe!K64</f>
      </c>
      <c r="K60" s="539"/>
      <c r="L60" s="441" t="str">
        <f>Ergebniseingabe!M64</f>
        <v>A-Jugend (m)</v>
      </c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68">
        <f>Ergebniseingabe!AH64</f>
      </c>
      <c r="AH60" s="468"/>
      <c r="AI60" s="469"/>
      <c r="AJ60" s="466">
        <f>Ergebniseingabe!AK64</f>
      </c>
      <c r="AK60" s="466"/>
      <c r="AL60" s="466"/>
      <c r="AM60" s="544"/>
      <c r="AN60" s="544"/>
      <c r="AO60" s="544"/>
      <c r="AP60" s="473">
        <f>Ergebniseingabe!AQ64</f>
      </c>
      <c r="AQ60" s="468"/>
      <c r="AR60" s="468"/>
      <c r="AS60" s="468">
        <f>Ergebniseingabe!AT64</f>
      </c>
      <c r="AT60" s="468"/>
      <c r="AU60" s="469"/>
      <c r="AV60" s="458">
        <f>Ergebniseingabe!AW64</f>
      </c>
      <c r="AW60" s="459"/>
      <c r="AX60" s="460"/>
      <c r="AY60" s="458">
        <f>Ergebniseingabe!AZ64</f>
      </c>
      <c r="AZ60" s="459"/>
      <c r="BA60" s="460"/>
      <c r="BB60" s="458">
        <f>Ergebniseingabe!BC64</f>
      </c>
      <c r="BC60" s="459"/>
      <c r="BD60" s="460"/>
      <c r="BE60" s="459">
        <f>Ergebniseingabe!BF64</f>
      </c>
      <c r="BF60" s="459"/>
      <c r="BG60" s="80">
        <f>Ergebniseingabe!BH64</f>
      </c>
      <c r="BH60" s="460">
        <f>Ergebniseingabe!BI64</f>
      </c>
      <c r="BI60" s="466"/>
      <c r="BJ60" s="564">
        <f>Ergebniseingabe!BK64</f>
      </c>
      <c r="BK60" s="564"/>
      <c r="BL60" s="565"/>
      <c r="BM60" s="458">
        <f>Ergebniseingabe!BN64</f>
      </c>
      <c r="BN60" s="459"/>
      <c r="BO60" s="546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 thickBot="1">
      <c r="B61" s="433">
        <f>IF(Ergebniseingabe!C65="","",Ergebniseingabe!C65)</f>
      </c>
      <c r="C61" s="433"/>
      <c r="D61" s="433"/>
      <c r="E61" s="433"/>
      <c r="F61" s="433">
        <f>IF(Ergebniseingabe!G65="","",Ergebniseingabe!G65)</f>
      </c>
      <c r="G61" s="433"/>
      <c r="H61" s="433"/>
      <c r="J61" s="614">
        <f>Ergebniseingabe!K65</f>
      </c>
      <c r="K61" s="615"/>
      <c r="L61" s="439" t="str">
        <f>Ergebniseingabe!M65</f>
        <v>A-Jugend (w)</v>
      </c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64">
        <f>Ergebniseingabe!AH65</f>
      </c>
      <c r="AH61" s="464"/>
      <c r="AI61" s="465"/>
      <c r="AJ61" s="543">
        <f>Ergebniseingabe!AK65</f>
      </c>
      <c r="AK61" s="543"/>
      <c r="AL61" s="543"/>
      <c r="AM61" s="543">
        <f>Ergebniseingabe!AN65</f>
      </c>
      <c r="AN61" s="543"/>
      <c r="AO61" s="543"/>
      <c r="AP61" s="474"/>
      <c r="AQ61" s="475"/>
      <c r="AR61" s="475"/>
      <c r="AS61" s="464">
        <f>Ergebniseingabe!AT65</f>
      </c>
      <c r="AT61" s="464"/>
      <c r="AU61" s="465"/>
      <c r="AV61" s="470">
        <f>Ergebniseingabe!AW65</f>
      </c>
      <c r="AW61" s="471"/>
      <c r="AX61" s="472"/>
      <c r="AY61" s="470">
        <f>Ergebniseingabe!AZ65</f>
      </c>
      <c r="AZ61" s="471"/>
      <c r="BA61" s="472"/>
      <c r="BB61" s="470">
        <f>Ergebniseingabe!BC65</f>
      </c>
      <c r="BC61" s="471"/>
      <c r="BD61" s="472"/>
      <c r="BE61" s="471">
        <f>Ergebniseingabe!BF65</f>
      </c>
      <c r="BF61" s="471"/>
      <c r="BG61" s="81">
        <f>Ergebniseingabe!BH65</f>
      </c>
      <c r="BH61" s="472">
        <f>Ergebniseingabe!BI65</f>
      </c>
      <c r="BI61" s="543"/>
      <c r="BJ61" s="575">
        <f>Ergebniseingabe!BK65</f>
      </c>
      <c r="BK61" s="575"/>
      <c r="BL61" s="576"/>
      <c r="BM61" s="470">
        <f>Ergebniseingabe!BN65</f>
      </c>
      <c r="BN61" s="471"/>
      <c r="BO61" s="545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68:8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68:8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60" ht="33.75">
      <c r="B64" s="519">
        <f>$B$2</f>
        <v>0</v>
      </c>
      <c r="C64" s="519"/>
      <c r="D64" s="519"/>
      <c r="E64" s="519"/>
      <c r="F64" s="519"/>
      <c r="G64" s="519"/>
      <c r="H64" s="519"/>
      <c r="I64" s="519"/>
      <c r="J64" s="519"/>
      <c r="K64" s="519"/>
      <c r="L64" s="519"/>
      <c r="M64" s="519"/>
      <c r="N64" s="519"/>
      <c r="O64" s="519"/>
      <c r="P64" s="519"/>
      <c r="Q64" s="519"/>
      <c r="R64" s="519"/>
      <c r="S64" s="519"/>
      <c r="T64" s="519"/>
      <c r="U64" s="519"/>
      <c r="V64" s="519"/>
      <c r="W64" s="519"/>
      <c r="X64" s="519"/>
      <c r="Y64" s="519"/>
      <c r="Z64" s="519"/>
      <c r="AA64" s="519"/>
      <c r="AB64" s="519"/>
      <c r="AC64" s="519"/>
      <c r="AD64" s="519"/>
      <c r="AE64" s="519"/>
      <c r="AF64" s="519"/>
      <c r="AG64" s="519"/>
      <c r="AH64" s="519"/>
      <c r="AI64" s="519"/>
      <c r="AJ64" s="519"/>
      <c r="AK64" s="519"/>
      <c r="AL64" s="519"/>
      <c r="AM64" s="519"/>
      <c r="AN64" s="519"/>
      <c r="AO64" s="519"/>
      <c r="AP64" s="519"/>
      <c r="AQ64" s="519"/>
      <c r="AR64" s="519"/>
      <c r="AS64" s="519"/>
      <c r="AT64" s="519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2:87" s="7" customFormat="1" ht="27">
      <c r="B65" s="499" t="str">
        <f>$B$3</f>
        <v>2. Test-Checker-Cup 2010</v>
      </c>
      <c r="C65" s="499"/>
      <c r="D65" s="499"/>
      <c r="E65" s="499"/>
      <c r="F65" s="499"/>
      <c r="G65" s="499"/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499"/>
      <c r="U65" s="499"/>
      <c r="V65" s="499"/>
      <c r="W65" s="499"/>
      <c r="X65" s="499"/>
      <c r="Y65" s="499"/>
      <c r="Z65" s="499"/>
      <c r="AA65" s="499"/>
      <c r="AB65" s="499"/>
      <c r="AC65" s="499"/>
      <c r="AD65" s="499"/>
      <c r="AE65" s="499"/>
      <c r="AF65" s="499"/>
      <c r="AG65" s="499"/>
      <c r="AH65" s="499"/>
      <c r="AI65" s="499"/>
      <c r="AJ65" s="499"/>
      <c r="AK65" s="499"/>
      <c r="AL65" s="499"/>
      <c r="AM65" s="499"/>
      <c r="AN65" s="499"/>
      <c r="AO65" s="499"/>
      <c r="AP65" s="499"/>
      <c r="AQ65" s="499"/>
      <c r="AR65" s="499"/>
      <c r="AS65" s="499"/>
      <c r="AT65" s="499"/>
      <c r="AV65" s="212" t="s">
        <v>61</v>
      </c>
      <c r="AW65" s="212"/>
      <c r="AX65" s="212"/>
      <c r="AY65" s="212"/>
      <c r="AZ65" s="212"/>
      <c r="BA65" s="212"/>
      <c r="BB65" s="212"/>
      <c r="BC65" s="212"/>
      <c r="BD65" s="158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68:87" s="11" customFormat="1" ht="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2:87" s="11" customFormat="1" ht="15">
      <c r="B67" s="59" t="s">
        <v>26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68:87" s="11" customFormat="1" ht="6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2:87" s="95" customFormat="1" ht="15">
      <c r="B69" s="520">
        <f>B6</f>
        <v>42176</v>
      </c>
      <c r="C69" s="520"/>
      <c r="D69" s="520"/>
      <c r="E69" s="520"/>
      <c r="F69" s="520"/>
      <c r="G69" s="520"/>
      <c r="H69" s="520"/>
      <c r="I69" s="520"/>
      <c r="J69" s="520"/>
      <c r="K69" s="520"/>
      <c r="L69" s="520"/>
      <c r="M69" s="520"/>
      <c r="N69" s="520"/>
      <c r="O69" s="520"/>
      <c r="P69" s="520"/>
      <c r="Q69" s="520"/>
      <c r="R69" s="520"/>
      <c r="S69" s="520"/>
      <c r="T69" s="520"/>
      <c r="U69" s="520"/>
      <c r="V69" s="520"/>
      <c r="W69" s="520"/>
      <c r="X69" s="520"/>
      <c r="Y69" s="520"/>
      <c r="Z69" s="520"/>
      <c r="AA69" s="520"/>
      <c r="AB69" s="520"/>
      <c r="AC69" s="520"/>
      <c r="AD69" s="520"/>
      <c r="AE69" s="520"/>
      <c r="AF69" s="520"/>
      <c r="AG69" s="520"/>
      <c r="AH69" s="520"/>
      <c r="AI69" s="520"/>
      <c r="AJ69" s="520"/>
      <c r="AK69" s="520"/>
      <c r="AL69" s="520"/>
      <c r="AM69" s="520"/>
      <c r="AN69" s="520"/>
      <c r="AO69" s="520"/>
      <c r="AP69" s="520"/>
      <c r="AQ69" s="520"/>
      <c r="AR69" s="520"/>
      <c r="AS69" s="520"/>
      <c r="AT69" s="520"/>
      <c r="AU69" s="96"/>
      <c r="AV69" s="96"/>
      <c r="AW69" s="96"/>
      <c r="AX69" s="96"/>
      <c r="AY69" s="96"/>
      <c r="AZ69" s="96"/>
      <c r="BA69" s="96"/>
      <c r="BP69" s="97"/>
      <c r="BQ69" s="97"/>
      <c r="BR69" s="97"/>
      <c r="BS69" s="97"/>
      <c r="BT69" s="97"/>
      <c r="BU69" s="98"/>
      <c r="BV69" s="99"/>
      <c r="BW69" s="99"/>
      <c r="BX69" s="99"/>
      <c r="BY69" s="98"/>
      <c r="BZ69" s="99"/>
      <c r="CA69" s="99"/>
      <c r="CB69" s="99"/>
      <c r="CC69" s="99"/>
      <c r="CD69" s="99"/>
      <c r="CE69" s="97"/>
      <c r="CF69" s="97"/>
      <c r="CG69" s="97"/>
      <c r="CH69" s="97"/>
      <c r="CI69" s="97"/>
    </row>
    <row r="70" spans="68:87" s="11" customFormat="1" ht="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95" customFormat="1" ht="15">
      <c r="A71" s="611" t="s">
        <v>62</v>
      </c>
      <c r="B71" s="611"/>
      <c r="C71" s="611"/>
      <c r="D71" s="611"/>
      <c r="E71" s="611"/>
      <c r="F71" s="611"/>
      <c r="G71" s="612">
        <f>Ergebniseingabe!H70</f>
        <v>0.6569444444444441</v>
      </c>
      <c r="H71" s="612"/>
      <c r="I71" s="612"/>
      <c r="J71" s="612"/>
      <c r="K71" s="95" t="s">
        <v>0</v>
      </c>
      <c r="S71" s="100" t="s">
        <v>1</v>
      </c>
      <c r="T71" s="619">
        <f>Ergebniseingabe!U70</f>
        <v>1</v>
      </c>
      <c r="U71" s="619"/>
      <c r="V71" s="101" t="s">
        <v>2</v>
      </c>
      <c r="W71" s="616">
        <f>Ergebniseingabe!X70</f>
        <v>10</v>
      </c>
      <c r="X71" s="616"/>
      <c r="Y71" s="616"/>
      <c r="Z71" s="616"/>
      <c r="AA71" s="616"/>
      <c r="AB71" s="613">
        <f>Ergebniseingabe!AC70</f>
      </c>
      <c r="AC71" s="613"/>
      <c r="AD71" s="613"/>
      <c r="AE71" s="613"/>
      <c r="AF71" s="613"/>
      <c r="AG71" s="613"/>
      <c r="AH71" s="616">
        <f>Ergebniseingabe!AI70</f>
        <v>0</v>
      </c>
      <c r="AI71" s="616"/>
      <c r="AJ71" s="616"/>
      <c r="AK71" s="616"/>
      <c r="AL71" s="616"/>
      <c r="AM71" s="611" t="s">
        <v>3</v>
      </c>
      <c r="AN71" s="611"/>
      <c r="AO71" s="611"/>
      <c r="AP71" s="611"/>
      <c r="AQ71" s="611"/>
      <c r="AR71" s="611"/>
      <c r="AS71" s="611"/>
      <c r="AT71" s="611"/>
      <c r="AU71" s="611"/>
      <c r="AV71" s="620">
        <f>Ergebniseingabe!AW70</f>
        <v>3</v>
      </c>
      <c r="AW71" s="620"/>
      <c r="AX71" s="620"/>
      <c r="AY71" s="620"/>
      <c r="AZ71" s="620"/>
      <c r="BA71" s="102"/>
      <c r="BB71" s="102"/>
      <c r="BC71" s="102"/>
      <c r="BD71" s="103"/>
      <c r="BE71" s="103"/>
      <c r="BF71" s="103"/>
      <c r="BG71" s="104"/>
      <c r="BH71" s="104"/>
      <c r="BI71" s="105"/>
      <c r="BJ71" s="105"/>
      <c r="BK71" s="106"/>
      <c r="BL71" s="106"/>
      <c r="BM71" s="106"/>
      <c r="BN71" s="107"/>
      <c r="BO71" s="107"/>
      <c r="BP71" s="107"/>
      <c r="BQ71" s="104"/>
      <c r="BR71" s="104"/>
      <c r="BS71" s="104"/>
      <c r="BT71" s="104"/>
      <c r="BU71" s="104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</row>
    <row r="72" spans="68:87" s="11" customFormat="1" ht="16.5" customHeight="1" thickBo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2:89" s="11" customFormat="1" ht="20.25" customHeight="1" thickBot="1">
      <c r="B73" s="632" t="s">
        <v>9</v>
      </c>
      <c r="C73" s="528"/>
      <c r="D73" s="528" t="s">
        <v>63</v>
      </c>
      <c r="E73" s="528"/>
      <c r="F73" s="528"/>
      <c r="G73" s="528"/>
      <c r="H73" s="431" t="s">
        <v>27</v>
      </c>
      <c r="I73" s="429"/>
      <c r="J73" s="429"/>
      <c r="K73" s="429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29"/>
      <c r="Y73" s="429"/>
      <c r="Z73" s="429"/>
      <c r="AA73" s="429"/>
      <c r="AB73" s="429"/>
      <c r="AC73" s="429"/>
      <c r="AD73" s="429"/>
      <c r="AE73" s="429"/>
      <c r="AF73" s="429"/>
      <c r="AG73" s="429"/>
      <c r="AH73" s="429"/>
      <c r="AI73" s="429"/>
      <c r="AJ73" s="429"/>
      <c r="AK73" s="429"/>
      <c r="AL73" s="429"/>
      <c r="AM73" s="429"/>
      <c r="AN73" s="429"/>
      <c r="AO73" s="429"/>
      <c r="AP73" s="429"/>
      <c r="AQ73" s="429"/>
      <c r="AR73" s="429"/>
      <c r="AS73" s="429"/>
      <c r="AT73" s="429"/>
      <c r="AU73" s="429"/>
      <c r="AV73" s="429"/>
      <c r="AW73" s="429"/>
      <c r="AX73" s="432"/>
      <c r="AY73" s="528" t="s">
        <v>12</v>
      </c>
      <c r="AZ73" s="528"/>
      <c r="BA73" s="528"/>
      <c r="BB73" s="528"/>
      <c r="BC73" s="431"/>
      <c r="BD73" s="428"/>
      <c r="BE73" s="429"/>
      <c r="BF73" s="429"/>
      <c r="BG73" s="430"/>
      <c r="BK73" s="63"/>
      <c r="BL73" s="63"/>
      <c r="BM73" s="63"/>
      <c r="BN73" s="63"/>
      <c r="BO73" s="63"/>
      <c r="BP73" s="63"/>
      <c r="BQ73" s="64"/>
      <c r="BR73" s="64"/>
      <c r="BS73" s="64"/>
      <c r="BT73" s="64"/>
      <c r="BU73" s="65"/>
      <c r="BV73" s="64"/>
      <c r="BW73" s="64"/>
      <c r="BX73" s="63"/>
      <c r="BY73" s="63"/>
      <c r="BZ73" s="63"/>
      <c r="CA73" s="63"/>
      <c r="CB73" s="63"/>
      <c r="CC73" s="63"/>
      <c r="CD73" s="63"/>
      <c r="CE73" s="12"/>
      <c r="CF73" s="12"/>
      <c r="CG73" s="12"/>
      <c r="CH73" s="12"/>
      <c r="CI73" s="12"/>
      <c r="CJ73" s="12"/>
      <c r="CK73" s="12"/>
    </row>
    <row r="74" spans="2:89" s="11" customFormat="1" ht="20.25" customHeight="1">
      <c r="B74" s="507">
        <v>13</v>
      </c>
      <c r="C74" s="508"/>
      <c r="D74" s="511">
        <f>Ergebniseingabe!E73</f>
        <v>0.6569444444444441</v>
      </c>
      <c r="E74" s="511"/>
      <c r="F74" s="511"/>
      <c r="G74" s="511"/>
      <c r="H74" s="617">
        <f>Ergebniseingabe!I73</f>
      </c>
      <c r="I74" s="618"/>
      <c r="J74" s="618"/>
      <c r="K74" s="618"/>
      <c r="L74" s="618"/>
      <c r="M74" s="618"/>
      <c r="N74" s="618"/>
      <c r="O74" s="618"/>
      <c r="P74" s="618"/>
      <c r="Q74" s="618"/>
      <c r="R74" s="618"/>
      <c r="S74" s="618"/>
      <c r="T74" s="618"/>
      <c r="U74" s="618"/>
      <c r="V74" s="618"/>
      <c r="W74" s="618"/>
      <c r="X74" s="618"/>
      <c r="Y74" s="618"/>
      <c r="Z74" s="618"/>
      <c r="AA74" s="618"/>
      <c r="AB74" s="618"/>
      <c r="AC74" s="110" t="s">
        <v>14</v>
      </c>
      <c r="AD74" s="618">
        <f>Ergebniseingabe!AE73</f>
      </c>
      <c r="AE74" s="618"/>
      <c r="AF74" s="618"/>
      <c r="AG74" s="618"/>
      <c r="AH74" s="618"/>
      <c r="AI74" s="618"/>
      <c r="AJ74" s="618"/>
      <c r="AK74" s="618"/>
      <c r="AL74" s="618"/>
      <c r="AM74" s="618"/>
      <c r="AN74" s="618"/>
      <c r="AO74" s="618"/>
      <c r="AP74" s="618"/>
      <c r="AQ74" s="618"/>
      <c r="AR74" s="618"/>
      <c r="AS74" s="618"/>
      <c r="AT74" s="618"/>
      <c r="AU74" s="618"/>
      <c r="AV74" s="618"/>
      <c r="AW74" s="618"/>
      <c r="AX74" s="624"/>
      <c r="AY74" s="504">
        <f>IF(Ergebniseingabe!AZ73="","",Ergebniseingabe!AZ73)</f>
      </c>
      <c r="AZ74" s="504"/>
      <c r="BA74" s="505"/>
      <c r="BB74" s="506">
        <f>IF(Ergebniseingabe!BC73="","",Ergebniseingabe!BC73)</f>
      </c>
      <c r="BC74" s="506"/>
      <c r="BD74" s="425">
        <f>IF(Ergebniseingabe!BE73="","",Ergebniseingabe!BE73)</f>
      </c>
      <c r="BE74" s="426"/>
      <c r="BF74" s="426"/>
      <c r="BG74" s="427"/>
      <c r="BK74" s="63"/>
      <c r="BL74" s="63"/>
      <c r="BM74" s="63"/>
      <c r="BN74" s="63"/>
      <c r="BO74" s="63"/>
      <c r="BP74" s="63"/>
      <c r="BQ74" s="64"/>
      <c r="BR74" s="64"/>
      <c r="BS74" s="64"/>
      <c r="BT74" s="64"/>
      <c r="BU74" s="65"/>
      <c r="BV74" s="64"/>
      <c r="BW74" s="64"/>
      <c r="BX74" s="63"/>
      <c r="BY74" s="63"/>
      <c r="BZ74" s="63"/>
      <c r="CA74" s="63"/>
      <c r="CB74" s="63"/>
      <c r="CC74" s="63"/>
      <c r="CD74" s="63"/>
      <c r="CE74" s="12"/>
      <c r="CF74" s="12"/>
      <c r="CG74" s="12"/>
      <c r="CH74" s="12"/>
      <c r="CI74" s="12"/>
      <c r="CJ74" s="12"/>
      <c r="CK74" s="12"/>
    </row>
    <row r="75" spans="2:89" s="11" customFormat="1" ht="11.25" customHeight="1" thickBot="1">
      <c r="B75" s="509"/>
      <c r="C75" s="510"/>
      <c r="D75" s="512"/>
      <c r="E75" s="512"/>
      <c r="F75" s="512"/>
      <c r="G75" s="512"/>
      <c r="H75" s="521" t="s">
        <v>28</v>
      </c>
      <c r="I75" s="517"/>
      <c r="J75" s="517"/>
      <c r="K75" s="517"/>
      <c r="L75" s="517"/>
      <c r="M75" s="517"/>
      <c r="N75" s="517"/>
      <c r="O75" s="517"/>
      <c r="P75" s="517"/>
      <c r="Q75" s="517"/>
      <c r="R75" s="517"/>
      <c r="S75" s="517"/>
      <c r="T75" s="517"/>
      <c r="U75" s="517"/>
      <c r="V75" s="517"/>
      <c r="W75" s="517"/>
      <c r="X75" s="517"/>
      <c r="Y75" s="517"/>
      <c r="Z75" s="517"/>
      <c r="AA75" s="517"/>
      <c r="AB75" s="517"/>
      <c r="AC75" s="111"/>
      <c r="AD75" s="517" t="s">
        <v>29</v>
      </c>
      <c r="AE75" s="517"/>
      <c r="AF75" s="517"/>
      <c r="AG75" s="517"/>
      <c r="AH75" s="517"/>
      <c r="AI75" s="517"/>
      <c r="AJ75" s="517"/>
      <c r="AK75" s="517"/>
      <c r="AL75" s="517"/>
      <c r="AM75" s="517"/>
      <c r="AN75" s="517"/>
      <c r="AO75" s="517"/>
      <c r="AP75" s="517"/>
      <c r="AQ75" s="517"/>
      <c r="AR75" s="517"/>
      <c r="AS75" s="517"/>
      <c r="AT75" s="517"/>
      <c r="AU75" s="517"/>
      <c r="AV75" s="517"/>
      <c r="AW75" s="517"/>
      <c r="AX75" s="518"/>
      <c r="AY75" s="497"/>
      <c r="AZ75" s="497"/>
      <c r="BA75" s="497"/>
      <c r="BB75" s="497"/>
      <c r="BC75" s="498"/>
      <c r="BD75" s="443"/>
      <c r="BE75" s="444"/>
      <c r="BF75" s="444"/>
      <c r="BG75" s="445"/>
      <c r="BK75" s="63"/>
      <c r="BL75" s="63"/>
      <c r="BM75" s="63"/>
      <c r="BN75" s="63"/>
      <c r="BO75" s="63"/>
      <c r="BP75" s="63"/>
      <c r="BQ75" s="64"/>
      <c r="BR75" s="64"/>
      <c r="BS75" s="64"/>
      <c r="BT75" s="64"/>
      <c r="BU75" s="65"/>
      <c r="BV75" s="64"/>
      <c r="BW75" s="64"/>
      <c r="BX75" s="63"/>
      <c r="BY75" s="63"/>
      <c r="BZ75" s="63"/>
      <c r="CA75" s="63"/>
      <c r="CB75" s="63"/>
      <c r="CC75" s="63"/>
      <c r="CD75" s="63"/>
      <c r="CE75" s="12"/>
      <c r="CF75" s="12"/>
      <c r="CG75" s="12"/>
      <c r="CH75" s="12"/>
      <c r="CI75" s="12"/>
      <c r="CJ75" s="12"/>
      <c r="CK75" s="12"/>
    </row>
    <row r="76" spans="56:89" s="11" customFormat="1" ht="20.25" customHeight="1" thickBot="1">
      <c r="BD76" s="63"/>
      <c r="BE76" s="63"/>
      <c r="BK76" s="63"/>
      <c r="BL76" s="63"/>
      <c r="BM76" s="63"/>
      <c r="BN76" s="63"/>
      <c r="BO76" s="63"/>
      <c r="BP76" s="63"/>
      <c r="BQ76" s="64"/>
      <c r="BR76" s="64"/>
      <c r="BS76" s="64"/>
      <c r="BT76" s="64"/>
      <c r="BU76" s="65"/>
      <c r="BV76" s="64"/>
      <c r="BW76" s="64"/>
      <c r="BX76" s="63"/>
      <c r="BY76" s="63"/>
      <c r="BZ76" s="63"/>
      <c r="CA76" s="63"/>
      <c r="CB76" s="63"/>
      <c r="CC76" s="63"/>
      <c r="CD76" s="63"/>
      <c r="CE76" s="12"/>
      <c r="CF76" s="12"/>
      <c r="CG76" s="12"/>
      <c r="CH76" s="12"/>
      <c r="CI76" s="12"/>
      <c r="CJ76" s="12"/>
      <c r="CK76" s="12"/>
    </row>
    <row r="77" spans="2:89" s="11" customFormat="1" ht="20.25" customHeight="1" thickBot="1">
      <c r="B77" s="632" t="s">
        <v>9</v>
      </c>
      <c r="C77" s="528"/>
      <c r="D77" s="528" t="s">
        <v>63</v>
      </c>
      <c r="E77" s="528"/>
      <c r="F77" s="528"/>
      <c r="G77" s="528"/>
      <c r="H77" s="431" t="s">
        <v>30</v>
      </c>
      <c r="I77" s="429"/>
      <c r="J77" s="429"/>
      <c r="K77" s="429"/>
      <c r="L77" s="429"/>
      <c r="M77" s="429"/>
      <c r="N77" s="429"/>
      <c r="O77" s="429"/>
      <c r="P77" s="429"/>
      <c r="Q77" s="429"/>
      <c r="R77" s="429"/>
      <c r="S77" s="429"/>
      <c r="T77" s="429"/>
      <c r="U77" s="429"/>
      <c r="V77" s="429"/>
      <c r="W77" s="429"/>
      <c r="X77" s="429"/>
      <c r="Y77" s="429"/>
      <c r="Z77" s="429"/>
      <c r="AA77" s="429"/>
      <c r="AB77" s="429"/>
      <c r="AC77" s="429"/>
      <c r="AD77" s="429"/>
      <c r="AE77" s="429"/>
      <c r="AF77" s="429"/>
      <c r="AG77" s="429"/>
      <c r="AH77" s="429"/>
      <c r="AI77" s="429"/>
      <c r="AJ77" s="429"/>
      <c r="AK77" s="429"/>
      <c r="AL77" s="429"/>
      <c r="AM77" s="429"/>
      <c r="AN77" s="429"/>
      <c r="AO77" s="429"/>
      <c r="AP77" s="429"/>
      <c r="AQ77" s="429"/>
      <c r="AR77" s="429"/>
      <c r="AS77" s="429"/>
      <c r="AT77" s="429"/>
      <c r="AU77" s="429"/>
      <c r="AV77" s="429"/>
      <c r="AW77" s="429"/>
      <c r="AX77" s="432"/>
      <c r="AY77" s="528" t="s">
        <v>12</v>
      </c>
      <c r="AZ77" s="528"/>
      <c r="BA77" s="528"/>
      <c r="BB77" s="528"/>
      <c r="BC77" s="431"/>
      <c r="BD77" s="428"/>
      <c r="BE77" s="429"/>
      <c r="BF77" s="429"/>
      <c r="BG77" s="430"/>
      <c r="BK77" s="63"/>
      <c r="BL77" s="63"/>
      <c r="BM77" s="63"/>
      <c r="BN77" s="63"/>
      <c r="BO77" s="63"/>
      <c r="BP77" s="63"/>
      <c r="BQ77" s="64"/>
      <c r="BR77" s="64"/>
      <c r="BS77" s="64"/>
      <c r="BT77" s="64"/>
      <c r="BU77" s="65"/>
      <c r="BV77" s="64"/>
      <c r="BW77" s="64"/>
      <c r="BX77" s="63"/>
      <c r="BY77" s="63"/>
      <c r="BZ77" s="63"/>
      <c r="CA77" s="63"/>
      <c r="CB77" s="63"/>
      <c r="CC77" s="63"/>
      <c r="CD77" s="63"/>
      <c r="CE77" s="12"/>
      <c r="CF77" s="12"/>
      <c r="CG77" s="12"/>
      <c r="CH77" s="12"/>
      <c r="CI77" s="12"/>
      <c r="CJ77" s="12"/>
      <c r="CK77" s="12"/>
    </row>
    <row r="78" spans="2:89" s="11" customFormat="1" ht="20.25" customHeight="1">
      <c r="B78" s="507">
        <v>14</v>
      </c>
      <c r="C78" s="508"/>
      <c r="D78" s="511">
        <f>Ergebniseingabe!E77</f>
        <v>0.6659722222222219</v>
      </c>
      <c r="E78" s="511"/>
      <c r="F78" s="511"/>
      <c r="G78" s="511"/>
      <c r="H78" s="617">
        <f>Ergebniseingabe!I77</f>
      </c>
      <c r="I78" s="618"/>
      <c r="J78" s="618"/>
      <c r="K78" s="618"/>
      <c r="L78" s="618"/>
      <c r="M78" s="618"/>
      <c r="N78" s="618"/>
      <c r="O78" s="618"/>
      <c r="P78" s="618"/>
      <c r="Q78" s="618"/>
      <c r="R78" s="618"/>
      <c r="S78" s="618"/>
      <c r="T78" s="618"/>
      <c r="U78" s="618"/>
      <c r="V78" s="618"/>
      <c r="W78" s="618"/>
      <c r="X78" s="618"/>
      <c r="Y78" s="618"/>
      <c r="Z78" s="618"/>
      <c r="AA78" s="618"/>
      <c r="AB78" s="618"/>
      <c r="AC78" s="110" t="s">
        <v>14</v>
      </c>
      <c r="AD78" s="618">
        <f>Ergebniseingabe!AE77</f>
      </c>
      <c r="AE78" s="618"/>
      <c r="AF78" s="618"/>
      <c r="AG78" s="618"/>
      <c r="AH78" s="618"/>
      <c r="AI78" s="618"/>
      <c r="AJ78" s="618"/>
      <c r="AK78" s="618"/>
      <c r="AL78" s="618"/>
      <c r="AM78" s="618"/>
      <c r="AN78" s="618"/>
      <c r="AO78" s="618"/>
      <c r="AP78" s="618"/>
      <c r="AQ78" s="618"/>
      <c r="AR78" s="618"/>
      <c r="AS78" s="618"/>
      <c r="AT78" s="618"/>
      <c r="AU78" s="618"/>
      <c r="AV78" s="618"/>
      <c r="AW78" s="618"/>
      <c r="AX78" s="624"/>
      <c r="AY78" s="504">
        <f>IF(Ergebniseingabe!AZ77="","",Ergebniseingabe!AZ77)</f>
      </c>
      <c r="AZ78" s="504"/>
      <c r="BA78" s="505"/>
      <c r="BB78" s="506">
        <f>IF(Ergebniseingabe!BC77="","",Ergebniseingabe!BC77)</f>
      </c>
      <c r="BC78" s="506"/>
      <c r="BD78" s="425">
        <f>IF(Ergebniseingabe!BE77="","",Ergebniseingabe!BE77)</f>
      </c>
      <c r="BE78" s="426"/>
      <c r="BF78" s="426"/>
      <c r="BG78" s="427"/>
      <c r="BK78" s="63"/>
      <c r="BL78" s="63"/>
      <c r="BM78" s="63"/>
      <c r="BN78" s="63"/>
      <c r="BO78" s="63"/>
      <c r="BP78" s="63"/>
      <c r="BQ78" s="64"/>
      <c r="BR78" s="64"/>
      <c r="BS78" s="64"/>
      <c r="BT78" s="64"/>
      <c r="BU78" s="65"/>
      <c r="BV78" s="64"/>
      <c r="BW78" s="64"/>
      <c r="BX78" s="63"/>
      <c r="BY78" s="63"/>
      <c r="BZ78" s="63"/>
      <c r="CA78" s="63"/>
      <c r="CB78" s="63"/>
      <c r="CC78" s="63"/>
      <c r="CD78" s="63"/>
      <c r="CE78" s="12"/>
      <c r="CF78" s="12"/>
      <c r="CG78" s="12"/>
      <c r="CH78" s="12"/>
      <c r="CI78" s="12"/>
      <c r="CJ78" s="12"/>
      <c r="CK78" s="12"/>
    </row>
    <row r="79" spans="2:95" s="11" customFormat="1" ht="11.25" customHeight="1" thickBot="1">
      <c r="B79" s="509"/>
      <c r="C79" s="510"/>
      <c r="D79" s="512"/>
      <c r="E79" s="512"/>
      <c r="F79" s="512"/>
      <c r="G79" s="512"/>
      <c r="H79" s="521" t="s">
        <v>31</v>
      </c>
      <c r="I79" s="517"/>
      <c r="J79" s="517"/>
      <c r="K79" s="517"/>
      <c r="L79" s="517"/>
      <c r="M79" s="517"/>
      <c r="N79" s="517"/>
      <c r="O79" s="517"/>
      <c r="P79" s="517"/>
      <c r="Q79" s="517"/>
      <c r="R79" s="517"/>
      <c r="S79" s="517"/>
      <c r="T79" s="517"/>
      <c r="U79" s="517"/>
      <c r="V79" s="517"/>
      <c r="W79" s="517"/>
      <c r="X79" s="517"/>
      <c r="Y79" s="517"/>
      <c r="Z79" s="517"/>
      <c r="AA79" s="517"/>
      <c r="AB79" s="517"/>
      <c r="AC79" s="111"/>
      <c r="AD79" s="517" t="s">
        <v>32</v>
      </c>
      <c r="AE79" s="517"/>
      <c r="AF79" s="517"/>
      <c r="AG79" s="517"/>
      <c r="AH79" s="517"/>
      <c r="AI79" s="517"/>
      <c r="AJ79" s="517"/>
      <c r="AK79" s="517"/>
      <c r="AL79" s="517"/>
      <c r="AM79" s="517"/>
      <c r="AN79" s="517"/>
      <c r="AO79" s="517"/>
      <c r="AP79" s="517"/>
      <c r="AQ79" s="517"/>
      <c r="AR79" s="517"/>
      <c r="AS79" s="517"/>
      <c r="AT79" s="517"/>
      <c r="AU79" s="517"/>
      <c r="AV79" s="517"/>
      <c r="AW79" s="517"/>
      <c r="AX79" s="518"/>
      <c r="AY79" s="497"/>
      <c r="AZ79" s="497"/>
      <c r="BA79" s="497"/>
      <c r="BB79" s="497"/>
      <c r="BC79" s="498"/>
      <c r="BD79" s="443"/>
      <c r="BE79" s="444"/>
      <c r="BF79" s="444"/>
      <c r="BG79" s="445"/>
      <c r="BK79" s="63"/>
      <c r="BL79" s="63"/>
      <c r="BM79" s="63"/>
      <c r="BN79" s="63"/>
      <c r="BO79" s="63"/>
      <c r="BP79" s="63"/>
      <c r="BQ79" s="64"/>
      <c r="BR79" s="64"/>
      <c r="BS79" s="64"/>
      <c r="BT79" s="64"/>
      <c r="BU79" s="65"/>
      <c r="BV79" s="64"/>
      <c r="BW79" s="64"/>
      <c r="BX79" s="63"/>
      <c r="BY79" s="63"/>
      <c r="BZ79" s="63"/>
      <c r="CA79" s="63"/>
      <c r="CB79" s="63"/>
      <c r="CC79" s="63"/>
      <c r="CD79" s="63"/>
      <c r="CE79" s="12"/>
      <c r="CF79" s="12"/>
      <c r="CG79" s="12"/>
      <c r="CH79" s="12"/>
      <c r="CI79" s="63"/>
      <c r="CJ79" s="63"/>
      <c r="CK79" s="63"/>
      <c r="CL79" s="15"/>
      <c r="CM79" s="15"/>
      <c r="CN79" s="15"/>
      <c r="CO79" s="15"/>
      <c r="CP79" s="15"/>
      <c r="CQ79" s="15"/>
    </row>
    <row r="80" spans="2:95" s="11" customFormat="1" ht="20.25" customHeight="1" thickBot="1">
      <c r="B80" s="82"/>
      <c r="C80" s="82"/>
      <c r="D80" s="112"/>
      <c r="E80" s="112"/>
      <c r="F80" s="112"/>
      <c r="G80" s="11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15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113"/>
      <c r="AZ80" s="113"/>
      <c r="BA80" s="113"/>
      <c r="BB80" s="113"/>
      <c r="BC80" s="113"/>
      <c r="BD80" s="114"/>
      <c r="BE80" s="114"/>
      <c r="BK80" s="63"/>
      <c r="BL80" s="63"/>
      <c r="BM80" s="63"/>
      <c r="BN80" s="63"/>
      <c r="BO80" s="63"/>
      <c r="BP80" s="63"/>
      <c r="BQ80" s="64"/>
      <c r="BR80" s="64"/>
      <c r="BS80" s="64"/>
      <c r="BT80" s="64"/>
      <c r="BU80" s="65"/>
      <c r="BV80" s="64"/>
      <c r="BW80" s="64"/>
      <c r="BX80" s="63"/>
      <c r="BY80" s="63"/>
      <c r="BZ80" s="63"/>
      <c r="CA80" s="63"/>
      <c r="CB80" s="63"/>
      <c r="CC80" s="63"/>
      <c r="CD80" s="63"/>
      <c r="CE80" s="12"/>
      <c r="CF80" s="12"/>
      <c r="CG80" s="12"/>
      <c r="CH80" s="12"/>
      <c r="CI80" s="63"/>
      <c r="CJ80" s="63"/>
      <c r="CK80" s="63"/>
      <c r="CL80" s="15"/>
      <c r="CM80" s="15"/>
      <c r="CN80" s="15"/>
      <c r="CO80" s="15"/>
      <c r="CP80" s="15"/>
      <c r="CQ80" s="15"/>
    </row>
    <row r="81" spans="2:89" s="11" customFormat="1" ht="20.25" customHeight="1" thickBot="1">
      <c r="B81" s="501" t="s">
        <v>9</v>
      </c>
      <c r="C81" s="502"/>
      <c r="D81" s="502" t="s">
        <v>63</v>
      </c>
      <c r="E81" s="502"/>
      <c r="F81" s="502"/>
      <c r="G81" s="502"/>
      <c r="H81" s="503" t="s">
        <v>33</v>
      </c>
      <c r="I81" s="492"/>
      <c r="J81" s="492"/>
      <c r="K81" s="492"/>
      <c r="L81" s="492"/>
      <c r="M81" s="492"/>
      <c r="N81" s="492"/>
      <c r="O81" s="492"/>
      <c r="P81" s="492"/>
      <c r="Q81" s="492"/>
      <c r="R81" s="492"/>
      <c r="S81" s="492"/>
      <c r="T81" s="492"/>
      <c r="U81" s="492"/>
      <c r="V81" s="492"/>
      <c r="W81" s="492"/>
      <c r="X81" s="492"/>
      <c r="Y81" s="492"/>
      <c r="Z81" s="492"/>
      <c r="AA81" s="492"/>
      <c r="AB81" s="492"/>
      <c r="AC81" s="492"/>
      <c r="AD81" s="492"/>
      <c r="AE81" s="492"/>
      <c r="AF81" s="492"/>
      <c r="AG81" s="492"/>
      <c r="AH81" s="492"/>
      <c r="AI81" s="492"/>
      <c r="AJ81" s="492"/>
      <c r="AK81" s="492"/>
      <c r="AL81" s="492"/>
      <c r="AM81" s="492"/>
      <c r="AN81" s="492"/>
      <c r="AO81" s="492"/>
      <c r="AP81" s="492"/>
      <c r="AQ81" s="492"/>
      <c r="AR81" s="492"/>
      <c r="AS81" s="492"/>
      <c r="AT81" s="492"/>
      <c r="AU81" s="492"/>
      <c r="AV81" s="492"/>
      <c r="AW81" s="492"/>
      <c r="AX81" s="513"/>
      <c r="AY81" s="502" t="s">
        <v>12</v>
      </c>
      <c r="AZ81" s="502"/>
      <c r="BA81" s="502"/>
      <c r="BB81" s="502"/>
      <c r="BC81" s="503"/>
      <c r="BD81" s="491"/>
      <c r="BE81" s="492"/>
      <c r="BF81" s="492"/>
      <c r="BG81" s="493"/>
      <c r="BK81" s="63"/>
      <c r="BL81" s="63"/>
      <c r="BM81" s="63"/>
      <c r="BN81" s="63"/>
      <c r="BO81" s="63"/>
      <c r="BP81" s="63"/>
      <c r="BQ81" s="64"/>
      <c r="BR81" s="64"/>
      <c r="BS81" s="64"/>
      <c r="BT81" s="64"/>
      <c r="BU81" s="65"/>
      <c r="BV81" s="64"/>
      <c r="BW81" s="64"/>
      <c r="BX81" s="63"/>
      <c r="BY81" s="63"/>
      <c r="BZ81" s="63"/>
      <c r="CA81" s="63"/>
      <c r="CB81" s="63"/>
      <c r="CC81" s="63"/>
      <c r="CD81" s="63"/>
      <c r="CE81" s="12"/>
      <c r="CF81" s="12"/>
      <c r="CG81" s="12"/>
      <c r="CH81" s="12"/>
      <c r="CI81" s="12"/>
      <c r="CJ81" s="12"/>
      <c r="CK81" s="12"/>
    </row>
    <row r="82" spans="2:89" s="11" customFormat="1" ht="20.25" customHeight="1">
      <c r="B82" s="507">
        <v>15</v>
      </c>
      <c r="C82" s="508"/>
      <c r="D82" s="511">
        <f>Ergebniseingabe!E81</f>
        <v>0.6749999999999996</v>
      </c>
      <c r="E82" s="511"/>
      <c r="F82" s="511"/>
      <c r="G82" s="511"/>
      <c r="H82" s="617">
        <f>Ergebniseingabe!I81</f>
      </c>
      <c r="I82" s="618"/>
      <c r="J82" s="618"/>
      <c r="K82" s="618"/>
      <c r="L82" s="618"/>
      <c r="M82" s="618"/>
      <c r="N82" s="618"/>
      <c r="O82" s="618"/>
      <c r="P82" s="618"/>
      <c r="Q82" s="618"/>
      <c r="R82" s="618"/>
      <c r="S82" s="618"/>
      <c r="T82" s="618"/>
      <c r="U82" s="618"/>
      <c r="V82" s="618"/>
      <c r="W82" s="618"/>
      <c r="X82" s="618"/>
      <c r="Y82" s="618"/>
      <c r="Z82" s="618"/>
      <c r="AA82" s="618"/>
      <c r="AB82" s="618"/>
      <c r="AC82" s="110" t="s">
        <v>14</v>
      </c>
      <c r="AD82" s="618">
        <f>Ergebniseingabe!AE81</f>
      </c>
      <c r="AE82" s="618"/>
      <c r="AF82" s="618"/>
      <c r="AG82" s="618"/>
      <c r="AH82" s="618"/>
      <c r="AI82" s="618"/>
      <c r="AJ82" s="618"/>
      <c r="AK82" s="618"/>
      <c r="AL82" s="618"/>
      <c r="AM82" s="618"/>
      <c r="AN82" s="618"/>
      <c r="AO82" s="618"/>
      <c r="AP82" s="618"/>
      <c r="AQ82" s="618"/>
      <c r="AR82" s="618"/>
      <c r="AS82" s="618"/>
      <c r="AT82" s="618"/>
      <c r="AU82" s="618"/>
      <c r="AV82" s="618"/>
      <c r="AW82" s="618"/>
      <c r="AX82" s="624"/>
      <c r="AY82" s="504">
        <f>IF(Ergebniseingabe!AZ81="","",Ergebniseingabe!AZ81)</f>
      </c>
      <c r="AZ82" s="504"/>
      <c r="BA82" s="505"/>
      <c r="BB82" s="506">
        <f>IF(Ergebniseingabe!BC81="","",Ergebniseingabe!BC81)</f>
      </c>
      <c r="BC82" s="506"/>
      <c r="BD82" s="425">
        <f>IF(Ergebniseingabe!BE81="","",Ergebniseingabe!BE81)</f>
      </c>
      <c r="BE82" s="426"/>
      <c r="BF82" s="426"/>
      <c r="BG82" s="427"/>
      <c r="BK82" s="63"/>
      <c r="BL82" s="63"/>
      <c r="BM82" s="63"/>
      <c r="BN82" s="63"/>
      <c r="BO82" s="63"/>
      <c r="BP82" s="63"/>
      <c r="BQ82" s="64"/>
      <c r="BR82" s="64"/>
      <c r="BS82" s="64"/>
      <c r="BT82" s="64"/>
      <c r="BU82" s="65"/>
      <c r="BV82" s="64"/>
      <c r="BW82" s="64"/>
      <c r="BX82" s="63"/>
      <c r="BY82" s="63"/>
      <c r="BZ82" s="63"/>
      <c r="CA82" s="63"/>
      <c r="CB82" s="63"/>
      <c r="CC82" s="63"/>
      <c r="CD82" s="63"/>
      <c r="CE82" s="12"/>
      <c r="CF82" s="12"/>
      <c r="CG82" s="12"/>
      <c r="CH82" s="12"/>
      <c r="CI82" s="12"/>
      <c r="CJ82" s="12"/>
      <c r="CK82" s="12"/>
    </row>
    <row r="83" spans="2:89" s="11" customFormat="1" ht="11.25" customHeight="1" thickBot="1">
      <c r="B83" s="509"/>
      <c r="C83" s="510"/>
      <c r="D83" s="512"/>
      <c r="E83" s="512"/>
      <c r="F83" s="512"/>
      <c r="G83" s="512"/>
      <c r="H83" s="521" t="s">
        <v>34</v>
      </c>
      <c r="I83" s="517"/>
      <c r="J83" s="517"/>
      <c r="K83" s="517"/>
      <c r="L83" s="517"/>
      <c r="M83" s="517"/>
      <c r="N83" s="517"/>
      <c r="O83" s="517"/>
      <c r="P83" s="517"/>
      <c r="Q83" s="517"/>
      <c r="R83" s="517"/>
      <c r="S83" s="517"/>
      <c r="T83" s="517"/>
      <c r="U83" s="517"/>
      <c r="V83" s="517"/>
      <c r="W83" s="517"/>
      <c r="X83" s="517"/>
      <c r="Y83" s="517"/>
      <c r="Z83" s="517"/>
      <c r="AA83" s="517"/>
      <c r="AB83" s="517"/>
      <c r="AC83" s="111"/>
      <c r="AD83" s="517" t="s">
        <v>35</v>
      </c>
      <c r="AE83" s="517"/>
      <c r="AF83" s="517"/>
      <c r="AG83" s="517"/>
      <c r="AH83" s="517"/>
      <c r="AI83" s="517"/>
      <c r="AJ83" s="517"/>
      <c r="AK83" s="517"/>
      <c r="AL83" s="517"/>
      <c r="AM83" s="517"/>
      <c r="AN83" s="517"/>
      <c r="AO83" s="517"/>
      <c r="AP83" s="517"/>
      <c r="AQ83" s="517"/>
      <c r="AR83" s="517"/>
      <c r="AS83" s="517"/>
      <c r="AT83" s="517"/>
      <c r="AU83" s="517"/>
      <c r="AV83" s="517"/>
      <c r="AW83" s="517"/>
      <c r="AX83" s="518"/>
      <c r="AY83" s="497"/>
      <c r="AZ83" s="497"/>
      <c r="BA83" s="497"/>
      <c r="BB83" s="497"/>
      <c r="BC83" s="498"/>
      <c r="BD83" s="443"/>
      <c r="BE83" s="444"/>
      <c r="BF83" s="444"/>
      <c r="BG83" s="445"/>
      <c r="BK83" s="63"/>
      <c r="BL83" s="63"/>
      <c r="BM83" s="63"/>
      <c r="BN83" s="63"/>
      <c r="BO83" s="63"/>
      <c r="BP83" s="63"/>
      <c r="BQ83" s="64"/>
      <c r="BR83" s="64"/>
      <c r="BS83" s="64"/>
      <c r="BT83" s="64"/>
      <c r="BU83" s="65"/>
      <c r="BV83" s="64"/>
      <c r="BW83" s="64"/>
      <c r="BX83" s="63"/>
      <c r="BY83" s="63"/>
      <c r="BZ83" s="63"/>
      <c r="CA83" s="63"/>
      <c r="CB83" s="63"/>
      <c r="CC83" s="63"/>
      <c r="CD83" s="63"/>
      <c r="CE83" s="12"/>
      <c r="CF83" s="12"/>
      <c r="CG83" s="12"/>
      <c r="CH83" s="12"/>
      <c r="CI83" s="12"/>
      <c r="CJ83" s="12"/>
      <c r="CK83" s="12"/>
    </row>
    <row r="84" spans="56:89" s="11" customFormat="1" ht="20.25" customHeight="1" thickBot="1">
      <c r="BD84" s="63"/>
      <c r="BE84" s="63"/>
      <c r="BK84" s="63"/>
      <c r="BL84" s="63"/>
      <c r="BM84" s="63"/>
      <c r="BN84" s="63"/>
      <c r="BO84" s="63"/>
      <c r="BP84" s="63"/>
      <c r="BQ84" s="64"/>
      <c r="BR84" s="64"/>
      <c r="BS84" s="64"/>
      <c r="BT84" s="64"/>
      <c r="BU84" s="65"/>
      <c r="BV84" s="64"/>
      <c r="BW84" s="64"/>
      <c r="BX84" s="63"/>
      <c r="BY84" s="63"/>
      <c r="BZ84" s="63"/>
      <c r="CA84" s="63"/>
      <c r="CB84" s="63"/>
      <c r="CC84" s="63"/>
      <c r="CD84" s="63"/>
      <c r="CE84" s="12"/>
      <c r="CF84" s="12"/>
      <c r="CG84" s="12"/>
      <c r="CH84" s="12"/>
      <c r="CI84" s="12"/>
      <c r="CJ84" s="12"/>
      <c r="CK84" s="12"/>
    </row>
    <row r="85" spans="2:89" s="11" customFormat="1" ht="20.25" customHeight="1" thickBot="1">
      <c r="B85" s="501" t="s">
        <v>9</v>
      </c>
      <c r="C85" s="502"/>
      <c r="D85" s="502" t="s">
        <v>63</v>
      </c>
      <c r="E85" s="502"/>
      <c r="F85" s="502"/>
      <c r="G85" s="502"/>
      <c r="H85" s="503" t="s">
        <v>36</v>
      </c>
      <c r="I85" s="492"/>
      <c r="J85" s="492"/>
      <c r="K85" s="492"/>
      <c r="L85" s="492"/>
      <c r="M85" s="492"/>
      <c r="N85" s="492"/>
      <c r="O85" s="492"/>
      <c r="P85" s="492"/>
      <c r="Q85" s="492"/>
      <c r="R85" s="492"/>
      <c r="S85" s="492"/>
      <c r="T85" s="492"/>
      <c r="U85" s="492"/>
      <c r="V85" s="492"/>
      <c r="W85" s="492"/>
      <c r="X85" s="492"/>
      <c r="Y85" s="492"/>
      <c r="Z85" s="492"/>
      <c r="AA85" s="492"/>
      <c r="AB85" s="492"/>
      <c r="AC85" s="492"/>
      <c r="AD85" s="492"/>
      <c r="AE85" s="492"/>
      <c r="AF85" s="492"/>
      <c r="AG85" s="492"/>
      <c r="AH85" s="492"/>
      <c r="AI85" s="492"/>
      <c r="AJ85" s="492"/>
      <c r="AK85" s="492"/>
      <c r="AL85" s="492"/>
      <c r="AM85" s="492"/>
      <c r="AN85" s="492"/>
      <c r="AO85" s="492"/>
      <c r="AP85" s="492"/>
      <c r="AQ85" s="492"/>
      <c r="AR85" s="492"/>
      <c r="AS85" s="492"/>
      <c r="AT85" s="492"/>
      <c r="AU85" s="492"/>
      <c r="AV85" s="492"/>
      <c r="AW85" s="492"/>
      <c r="AX85" s="513"/>
      <c r="AY85" s="502" t="s">
        <v>12</v>
      </c>
      <c r="AZ85" s="502"/>
      <c r="BA85" s="502"/>
      <c r="BB85" s="502"/>
      <c r="BC85" s="503"/>
      <c r="BD85" s="491"/>
      <c r="BE85" s="492"/>
      <c r="BF85" s="492"/>
      <c r="BG85" s="493"/>
      <c r="BK85" s="63"/>
      <c r="BL85" s="63"/>
      <c r="BM85" s="63"/>
      <c r="BN85" s="63"/>
      <c r="BO85" s="63"/>
      <c r="BP85" s="63"/>
      <c r="BQ85" s="64"/>
      <c r="BR85" s="64"/>
      <c r="BS85" s="64"/>
      <c r="BT85" s="64"/>
      <c r="BU85" s="65"/>
      <c r="BV85" s="64"/>
      <c r="BW85" s="64"/>
      <c r="BX85" s="63"/>
      <c r="BY85" s="63"/>
      <c r="BZ85" s="63"/>
      <c r="CA85" s="63"/>
      <c r="CB85" s="63"/>
      <c r="CC85" s="63"/>
      <c r="CD85" s="63"/>
      <c r="CE85" s="12"/>
      <c r="CF85" s="12"/>
      <c r="CG85" s="12"/>
      <c r="CH85" s="12"/>
      <c r="CI85" s="12"/>
      <c r="CJ85" s="12"/>
      <c r="CK85" s="12"/>
    </row>
    <row r="86" spans="2:89" s="11" customFormat="1" ht="20.25" customHeight="1">
      <c r="B86" s="507">
        <v>16</v>
      </c>
      <c r="C86" s="508"/>
      <c r="D86" s="511">
        <f>Ergebniseingabe!E85</f>
        <v>0.6840277777777773</v>
      </c>
      <c r="E86" s="511"/>
      <c r="F86" s="511"/>
      <c r="G86" s="511"/>
      <c r="H86" s="617">
        <f>Ergebniseingabe!I85</f>
      </c>
      <c r="I86" s="618"/>
      <c r="J86" s="618"/>
      <c r="K86" s="618"/>
      <c r="L86" s="618"/>
      <c r="M86" s="618"/>
      <c r="N86" s="618"/>
      <c r="O86" s="618"/>
      <c r="P86" s="618"/>
      <c r="Q86" s="618"/>
      <c r="R86" s="618"/>
      <c r="S86" s="618"/>
      <c r="T86" s="618"/>
      <c r="U86" s="618"/>
      <c r="V86" s="618"/>
      <c r="W86" s="618"/>
      <c r="X86" s="618"/>
      <c r="Y86" s="618"/>
      <c r="Z86" s="618"/>
      <c r="AA86" s="618"/>
      <c r="AB86" s="618"/>
      <c r="AC86" s="110" t="s">
        <v>14</v>
      </c>
      <c r="AD86" s="618">
        <f>Ergebniseingabe!AE85</f>
      </c>
      <c r="AE86" s="618"/>
      <c r="AF86" s="618"/>
      <c r="AG86" s="618"/>
      <c r="AH86" s="618"/>
      <c r="AI86" s="618"/>
      <c r="AJ86" s="618"/>
      <c r="AK86" s="618"/>
      <c r="AL86" s="618"/>
      <c r="AM86" s="618"/>
      <c r="AN86" s="618"/>
      <c r="AO86" s="618"/>
      <c r="AP86" s="618"/>
      <c r="AQ86" s="618"/>
      <c r="AR86" s="618"/>
      <c r="AS86" s="618"/>
      <c r="AT86" s="618"/>
      <c r="AU86" s="618"/>
      <c r="AV86" s="618"/>
      <c r="AW86" s="618"/>
      <c r="AX86" s="624"/>
      <c r="AY86" s="504">
        <f>IF(Ergebniseingabe!AZ85="","",Ergebniseingabe!AZ85)</f>
      </c>
      <c r="AZ86" s="504"/>
      <c r="BA86" s="505"/>
      <c r="BB86" s="506">
        <f>IF(Ergebniseingabe!BC85="","",Ergebniseingabe!BC85)</f>
      </c>
      <c r="BC86" s="506"/>
      <c r="BD86" s="425">
        <f>IF(Ergebniseingabe!BE85="","",Ergebniseingabe!BE85)</f>
      </c>
      <c r="BE86" s="426"/>
      <c r="BF86" s="426"/>
      <c r="BG86" s="427"/>
      <c r="BK86" s="63"/>
      <c r="BL86" s="63"/>
      <c r="BM86" s="63"/>
      <c r="BN86" s="63"/>
      <c r="BO86" s="63"/>
      <c r="BP86" s="63"/>
      <c r="BQ86" s="64"/>
      <c r="BR86" s="64"/>
      <c r="BS86" s="64"/>
      <c r="BT86" s="64"/>
      <c r="BU86" s="65"/>
      <c r="BV86" s="64"/>
      <c r="BW86" s="64"/>
      <c r="BX86" s="63"/>
      <c r="BY86" s="63"/>
      <c r="BZ86" s="63"/>
      <c r="CA86" s="63"/>
      <c r="CB86" s="63"/>
      <c r="CC86" s="63"/>
      <c r="CD86" s="63"/>
      <c r="CE86" s="12"/>
      <c r="CF86" s="12"/>
      <c r="CG86" s="12"/>
      <c r="CH86" s="12"/>
      <c r="CI86" s="12"/>
      <c r="CJ86" s="12"/>
      <c r="CK86" s="12"/>
    </row>
    <row r="87" spans="2:95" s="11" customFormat="1" ht="11.25" customHeight="1" thickBot="1">
      <c r="B87" s="509"/>
      <c r="C87" s="510"/>
      <c r="D87" s="512"/>
      <c r="E87" s="512"/>
      <c r="F87" s="512"/>
      <c r="G87" s="512"/>
      <c r="H87" s="521" t="s">
        <v>37</v>
      </c>
      <c r="I87" s="517"/>
      <c r="J87" s="517"/>
      <c r="K87" s="517"/>
      <c r="L87" s="517"/>
      <c r="M87" s="517"/>
      <c r="N87" s="517"/>
      <c r="O87" s="517"/>
      <c r="P87" s="517"/>
      <c r="Q87" s="517"/>
      <c r="R87" s="517"/>
      <c r="S87" s="517"/>
      <c r="T87" s="517"/>
      <c r="U87" s="517"/>
      <c r="V87" s="517"/>
      <c r="W87" s="517"/>
      <c r="X87" s="517"/>
      <c r="Y87" s="517"/>
      <c r="Z87" s="517"/>
      <c r="AA87" s="517"/>
      <c r="AB87" s="517"/>
      <c r="AC87" s="111"/>
      <c r="AD87" s="517" t="s">
        <v>38</v>
      </c>
      <c r="AE87" s="517"/>
      <c r="AF87" s="517"/>
      <c r="AG87" s="517"/>
      <c r="AH87" s="517"/>
      <c r="AI87" s="517"/>
      <c r="AJ87" s="517"/>
      <c r="AK87" s="517"/>
      <c r="AL87" s="517"/>
      <c r="AM87" s="517"/>
      <c r="AN87" s="517"/>
      <c r="AO87" s="517"/>
      <c r="AP87" s="517"/>
      <c r="AQ87" s="517"/>
      <c r="AR87" s="517"/>
      <c r="AS87" s="517"/>
      <c r="AT87" s="517"/>
      <c r="AU87" s="517"/>
      <c r="AV87" s="517"/>
      <c r="AW87" s="517"/>
      <c r="AX87" s="518"/>
      <c r="AY87" s="497"/>
      <c r="AZ87" s="497"/>
      <c r="BA87" s="497"/>
      <c r="BB87" s="497"/>
      <c r="BC87" s="498"/>
      <c r="BD87" s="443"/>
      <c r="BE87" s="444"/>
      <c r="BF87" s="444"/>
      <c r="BG87" s="445"/>
      <c r="BK87" s="63"/>
      <c r="BL87" s="63"/>
      <c r="BM87" s="63"/>
      <c r="BN87" s="63"/>
      <c r="BO87" s="63"/>
      <c r="BP87" s="63"/>
      <c r="BQ87" s="64"/>
      <c r="BR87" s="64"/>
      <c r="BS87" s="64"/>
      <c r="BT87" s="64"/>
      <c r="BU87" s="65"/>
      <c r="BV87" s="64"/>
      <c r="BW87" s="64"/>
      <c r="BX87" s="63"/>
      <c r="BY87" s="63"/>
      <c r="BZ87" s="63"/>
      <c r="CA87" s="63"/>
      <c r="CB87" s="63"/>
      <c r="CC87" s="63"/>
      <c r="CD87" s="63"/>
      <c r="CE87" s="12"/>
      <c r="CF87" s="12"/>
      <c r="CG87" s="12"/>
      <c r="CH87" s="12"/>
      <c r="CI87" s="63"/>
      <c r="CJ87" s="63"/>
      <c r="CK87" s="63"/>
      <c r="CL87" s="15"/>
      <c r="CM87" s="15"/>
      <c r="CN87" s="15"/>
      <c r="CO87" s="15"/>
      <c r="CP87" s="15"/>
      <c r="CQ87" s="15"/>
    </row>
    <row r="88" spans="2:95" s="11" customFormat="1" ht="20.25" customHeight="1" thickBot="1">
      <c r="B88" s="82"/>
      <c r="C88" s="82"/>
      <c r="D88" s="112"/>
      <c r="E88" s="112"/>
      <c r="F88" s="112"/>
      <c r="G88" s="11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15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113"/>
      <c r="AZ88" s="113"/>
      <c r="BA88" s="113"/>
      <c r="BB88" s="113"/>
      <c r="BC88" s="113"/>
      <c r="BD88" s="114"/>
      <c r="BE88" s="114"/>
      <c r="BK88" s="63"/>
      <c r="BL88" s="63"/>
      <c r="BM88" s="63"/>
      <c r="BN88" s="63"/>
      <c r="BO88" s="63"/>
      <c r="BP88" s="63"/>
      <c r="BQ88" s="64"/>
      <c r="BR88" s="64"/>
      <c r="BS88" s="64"/>
      <c r="BT88" s="64"/>
      <c r="BU88" s="65"/>
      <c r="BV88" s="64"/>
      <c r="BW88" s="64"/>
      <c r="BX88" s="63"/>
      <c r="BY88" s="63"/>
      <c r="BZ88" s="63"/>
      <c r="CA88" s="63"/>
      <c r="CB88" s="63"/>
      <c r="CC88" s="63"/>
      <c r="CD88" s="63"/>
      <c r="CE88" s="12"/>
      <c r="CF88" s="12"/>
      <c r="CG88" s="12"/>
      <c r="CH88" s="12"/>
      <c r="CI88" s="63"/>
      <c r="CJ88" s="63"/>
      <c r="CK88" s="63"/>
      <c r="CL88" s="15"/>
      <c r="CM88" s="15"/>
      <c r="CN88" s="15"/>
      <c r="CO88" s="15"/>
      <c r="CP88" s="15"/>
      <c r="CQ88" s="15"/>
    </row>
    <row r="89" spans="2:95" s="11" customFormat="1" ht="20.25" customHeight="1" thickBot="1">
      <c r="B89" s="631" t="s">
        <v>9</v>
      </c>
      <c r="C89" s="514"/>
      <c r="D89" s="514" t="s">
        <v>63</v>
      </c>
      <c r="E89" s="514"/>
      <c r="F89" s="514"/>
      <c r="G89" s="514"/>
      <c r="H89" s="515" t="s">
        <v>39</v>
      </c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447"/>
      <c r="U89" s="447"/>
      <c r="V89" s="447"/>
      <c r="W89" s="447"/>
      <c r="X89" s="447"/>
      <c r="Y89" s="447"/>
      <c r="Z89" s="447"/>
      <c r="AA89" s="447"/>
      <c r="AB89" s="447"/>
      <c r="AC89" s="447"/>
      <c r="AD89" s="447"/>
      <c r="AE89" s="447"/>
      <c r="AF89" s="447"/>
      <c r="AG89" s="447"/>
      <c r="AH89" s="447"/>
      <c r="AI89" s="447"/>
      <c r="AJ89" s="447"/>
      <c r="AK89" s="447"/>
      <c r="AL89" s="447"/>
      <c r="AM89" s="447"/>
      <c r="AN89" s="447"/>
      <c r="AO89" s="447"/>
      <c r="AP89" s="447"/>
      <c r="AQ89" s="447"/>
      <c r="AR89" s="447"/>
      <c r="AS89" s="447"/>
      <c r="AT89" s="447"/>
      <c r="AU89" s="447"/>
      <c r="AV89" s="447"/>
      <c r="AW89" s="447"/>
      <c r="AX89" s="516"/>
      <c r="AY89" s="514" t="s">
        <v>12</v>
      </c>
      <c r="AZ89" s="514"/>
      <c r="BA89" s="514"/>
      <c r="BB89" s="514"/>
      <c r="BC89" s="515"/>
      <c r="BD89" s="446"/>
      <c r="BE89" s="447"/>
      <c r="BF89" s="447"/>
      <c r="BG89" s="448"/>
      <c r="BK89" s="63"/>
      <c r="BL89" s="63"/>
      <c r="BM89" s="63"/>
      <c r="BN89" s="63"/>
      <c r="BO89" s="63"/>
      <c r="BP89" s="63"/>
      <c r="BQ89" s="64"/>
      <c r="BR89" s="64"/>
      <c r="BS89" s="64"/>
      <c r="BT89" s="64"/>
      <c r="BU89" s="65"/>
      <c r="BV89" s="64"/>
      <c r="BW89" s="64"/>
      <c r="BX89" s="63"/>
      <c r="BY89" s="63"/>
      <c r="BZ89" s="63"/>
      <c r="CA89" s="63"/>
      <c r="CB89" s="63"/>
      <c r="CC89" s="63"/>
      <c r="CD89" s="63"/>
      <c r="CE89" s="12"/>
      <c r="CF89" s="12"/>
      <c r="CG89" s="12"/>
      <c r="CH89" s="12"/>
      <c r="CI89" s="63"/>
      <c r="CJ89" s="63"/>
      <c r="CK89" s="115"/>
      <c r="CL89" s="15"/>
      <c r="CM89" s="15"/>
      <c r="CN89" s="15"/>
      <c r="CO89" s="15"/>
      <c r="CP89" s="15"/>
      <c r="CQ89" s="15"/>
    </row>
    <row r="90" spans="2:95" s="11" customFormat="1" ht="20.25" customHeight="1">
      <c r="B90" s="507">
        <v>17</v>
      </c>
      <c r="C90" s="508"/>
      <c r="D90" s="511">
        <f>Ergebniseingabe!E89</f>
        <v>0.6930555555555551</v>
      </c>
      <c r="E90" s="511"/>
      <c r="F90" s="511"/>
      <c r="G90" s="511"/>
      <c r="H90" s="617" t="str">
        <f>Ergebniseingabe!I89</f>
        <v> </v>
      </c>
      <c r="I90" s="618"/>
      <c r="J90" s="618"/>
      <c r="K90" s="618"/>
      <c r="L90" s="618"/>
      <c r="M90" s="618"/>
      <c r="N90" s="618"/>
      <c r="O90" s="618"/>
      <c r="P90" s="618"/>
      <c r="Q90" s="618"/>
      <c r="R90" s="618"/>
      <c r="S90" s="618"/>
      <c r="T90" s="618"/>
      <c r="U90" s="618"/>
      <c r="V90" s="618"/>
      <c r="W90" s="618"/>
      <c r="X90" s="618"/>
      <c r="Y90" s="618"/>
      <c r="Z90" s="618"/>
      <c r="AA90" s="618"/>
      <c r="AB90" s="618"/>
      <c r="AC90" s="110" t="s">
        <v>14</v>
      </c>
      <c r="AD90" s="618" t="str">
        <f>Ergebniseingabe!AE89</f>
        <v> </v>
      </c>
      <c r="AE90" s="618"/>
      <c r="AF90" s="618"/>
      <c r="AG90" s="618"/>
      <c r="AH90" s="618"/>
      <c r="AI90" s="618"/>
      <c r="AJ90" s="618"/>
      <c r="AK90" s="618"/>
      <c r="AL90" s="618"/>
      <c r="AM90" s="618"/>
      <c r="AN90" s="618"/>
      <c r="AO90" s="618"/>
      <c r="AP90" s="618"/>
      <c r="AQ90" s="618"/>
      <c r="AR90" s="618"/>
      <c r="AS90" s="618"/>
      <c r="AT90" s="618"/>
      <c r="AU90" s="618"/>
      <c r="AV90" s="618"/>
      <c r="AW90" s="618"/>
      <c r="AX90" s="624"/>
      <c r="AY90" s="504">
        <f>IF(Ergebniseingabe!AZ89="","",Ergebniseingabe!AZ89)</f>
      </c>
      <c r="AZ90" s="504"/>
      <c r="BA90" s="505"/>
      <c r="BB90" s="506">
        <f>IF(Ergebniseingabe!BC89="","",Ergebniseingabe!BC89)</f>
      </c>
      <c r="BC90" s="506"/>
      <c r="BD90" s="425">
        <f>IF(Ergebniseingabe!BE89="","",Ergebniseingabe!BE89)</f>
      </c>
      <c r="BE90" s="426"/>
      <c r="BF90" s="426"/>
      <c r="BG90" s="427"/>
      <c r="BK90" s="63"/>
      <c r="BL90" s="63"/>
      <c r="BM90" s="63"/>
      <c r="BN90" s="63"/>
      <c r="BO90" s="63"/>
      <c r="BP90" s="63"/>
      <c r="BQ90" s="64"/>
      <c r="BR90" s="64"/>
      <c r="BS90" s="64"/>
      <c r="BT90" s="64"/>
      <c r="BU90" s="65"/>
      <c r="BV90" s="64"/>
      <c r="BW90" s="64"/>
      <c r="BX90" s="63"/>
      <c r="BY90" s="63"/>
      <c r="BZ90" s="63"/>
      <c r="CA90" s="63"/>
      <c r="CB90" s="63"/>
      <c r="CC90" s="63"/>
      <c r="CD90" s="63"/>
      <c r="CE90" s="12"/>
      <c r="CF90" s="12"/>
      <c r="CG90" s="12"/>
      <c r="CH90" s="12"/>
      <c r="CI90" s="63"/>
      <c r="CJ90" s="63"/>
      <c r="CK90" s="115"/>
      <c r="CL90" s="15"/>
      <c r="CM90" s="15"/>
      <c r="CN90" s="15"/>
      <c r="CO90" s="15"/>
      <c r="CP90" s="15"/>
      <c r="CQ90" s="15"/>
    </row>
    <row r="91" spans="2:89" s="11" customFormat="1" ht="11.25" customHeight="1" thickBot="1">
      <c r="B91" s="509"/>
      <c r="C91" s="510"/>
      <c r="D91" s="512"/>
      <c r="E91" s="512"/>
      <c r="F91" s="512"/>
      <c r="G91" s="512"/>
      <c r="H91" s="521" t="s">
        <v>40</v>
      </c>
      <c r="I91" s="517"/>
      <c r="J91" s="517"/>
      <c r="K91" s="517"/>
      <c r="L91" s="517"/>
      <c r="M91" s="517"/>
      <c r="N91" s="517"/>
      <c r="O91" s="517"/>
      <c r="P91" s="517"/>
      <c r="Q91" s="517"/>
      <c r="R91" s="517"/>
      <c r="S91" s="517"/>
      <c r="T91" s="517"/>
      <c r="U91" s="517"/>
      <c r="V91" s="517"/>
      <c r="W91" s="517"/>
      <c r="X91" s="517"/>
      <c r="Y91" s="517"/>
      <c r="Z91" s="517"/>
      <c r="AA91" s="517"/>
      <c r="AB91" s="517"/>
      <c r="AC91" s="111"/>
      <c r="AD91" s="517" t="s">
        <v>41</v>
      </c>
      <c r="AE91" s="517"/>
      <c r="AF91" s="517"/>
      <c r="AG91" s="517"/>
      <c r="AH91" s="517"/>
      <c r="AI91" s="517"/>
      <c r="AJ91" s="517"/>
      <c r="AK91" s="517"/>
      <c r="AL91" s="517"/>
      <c r="AM91" s="517"/>
      <c r="AN91" s="517"/>
      <c r="AO91" s="517"/>
      <c r="AP91" s="517"/>
      <c r="AQ91" s="517"/>
      <c r="AR91" s="517"/>
      <c r="AS91" s="517"/>
      <c r="AT91" s="517"/>
      <c r="AU91" s="517"/>
      <c r="AV91" s="517"/>
      <c r="AW91" s="517"/>
      <c r="AX91" s="518"/>
      <c r="AY91" s="497"/>
      <c r="AZ91" s="497"/>
      <c r="BA91" s="497"/>
      <c r="BB91" s="497"/>
      <c r="BC91" s="498"/>
      <c r="BD91" s="443"/>
      <c r="BE91" s="444"/>
      <c r="BF91" s="444"/>
      <c r="BG91" s="445"/>
      <c r="BK91" s="63"/>
      <c r="BL91" s="63"/>
      <c r="BM91" s="63"/>
      <c r="BN91" s="63"/>
      <c r="BO91" s="63"/>
      <c r="BP91" s="63"/>
      <c r="BQ91" s="64"/>
      <c r="BR91" s="64"/>
      <c r="BS91" s="64"/>
      <c r="BT91" s="64"/>
      <c r="BU91" s="65"/>
      <c r="BV91" s="64"/>
      <c r="BW91" s="64"/>
      <c r="BX91" s="63"/>
      <c r="BY91" s="63"/>
      <c r="BZ91" s="63"/>
      <c r="CA91" s="63"/>
      <c r="CB91" s="63"/>
      <c r="CC91" s="63"/>
      <c r="CD91" s="63"/>
      <c r="CE91" s="12"/>
      <c r="CF91" s="12"/>
      <c r="CG91" s="12"/>
      <c r="CH91" s="12"/>
      <c r="CI91" s="12"/>
      <c r="CJ91" s="12"/>
      <c r="CK91" s="12"/>
    </row>
    <row r="92" spans="56:89" s="11" customFormat="1" ht="20.25" customHeight="1" thickBot="1">
      <c r="BD92" s="63"/>
      <c r="BE92" s="63"/>
      <c r="BK92" s="63"/>
      <c r="BL92" s="63"/>
      <c r="BM92" s="63"/>
      <c r="BN92" s="63"/>
      <c r="BO92" s="63"/>
      <c r="BP92" s="63"/>
      <c r="BQ92" s="64"/>
      <c r="BR92" s="64"/>
      <c r="BS92" s="64"/>
      <c r="BT92" s="64"/>
      <c r="BU92" s="65"/>
      <c r="BV92" s="64"/>
      <c r="BW92" s="64"/>
      <c r="BX92" s="63"/>
      <c r="BY92" s="63"/>
      <c r="BZ92" s="63"/>
      <c r="CA92" s="63"/>
      <c r="CB92" s="63"/>
      <c r="CC92" s="63"/>
      <c r="CD92" s="63"/>
      <c r="CE92" s="12"/>
      <c r="CF92" s="12"/>
      <c r="CG92" s="12"/>
      <c r="CH92" s="12"/>
      <c r="CI92" s="12"/>
      <c r="CJ92" s="12"/>
      <c r="CK92" s="12"/>
    </row>
    <row r="93" spans="2:89" s="11" customFormat="1" ht="20.25" customHeight="1" thickBot="1">
      <c r="B93" s="631" t="s">
        <v>9</v>
      </c>
      <c r="C93" s="514"/>
      <c r="D93" s="514" t="s">
        <v>63</v>
      </c>
      <c r="E93" s="514"/>
      <c r="F93" s="514"/>
      <c r="G93" s="514"/>
      <c r="H93" s="515" t="s">
        <v>42</v>
      </c>
      <c r="I93" s="447"/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7"/>
      <c r="W93" s="447"/>
      <c r="X93" s="447"/>
      <c r="Y93" s="447"/>
      <c r="Z93" s="447"/>
      <c r="AA93" s="447"/>
      <c r="AB93" s="447"/>
      <c r="AC93" s="447"/>
      <c r="AD93" s="447"/>
      <c r="AE93" s="447"/>
      <c r="AF93" s="447"/>
      <c r="AG93" s="447"/>
      <c r="AH93" s="447"/>
      <c r="AI93" s="447"/>
      <c r="AJ93" s="447"/>
      <c r="AK93" s="447"/>
      <c r="AL93" s="447"/>
      <c r="AM93" s="447"/>
      <c r="AN93" s="447"/>
      <c r="AO93" s="447"/>
      <c r="AP93" s="447"/>
      <c r="AQ93" s="447"/>
      <c r="AR93" s="447"/>
      <c r="AS93" s="447"/>
      <c r="AT93" s="447"/>
      <c r="AU93" s="447"/>
      <c r="AV93" s="447"/>
      <c r="AW93" s="447"/>
      <c r="AX93" s="516"/>
      <c r="AY93" s="514" t="s">
        <v>12</v>
      </c>
      <c r="AZ93" s="514"/>
      <c r="BA93" s="514"/>
      <c r="BB93" s="514"/>
      <c r="BC93" s="515"/>
      <c r="BD93" s="446"/>
      <c r="BE93" s="447"/>
      <c r="BF93" s="447"/>
      <c r="BG93" s="448"/>
      <c r="BK93" s="63"/>
      <c r="BL93" s="63"/>
      <c r="BM93" s="63"/>
      <c r="BN93" s="63"/>
      <c r="BO93" s="63"/>
      <c r="BP93" s="63"/>
      <c r="BQ93" s="64"/>
      <c r="BR93" s="64"/>
      <c r="BS93" s="64"/>
      <c r="BT93" s="64"/>
      <c r="BU93" s="65"/>
      <c r="BV93" s="64"/>
      <c r="BW93" s="64"/>
      <c r="BX93" s="63"/>
      <c r="BY93" s="63"/>
      <c r="BZ93" s="63"/>
      <c r="CA93" s="63"/>
      <c r="CB93" s="63"/>
      <c r="CC93" s="63"/>
      <c r="CD93" s="63"/>
      <c r="CE93" s="12"/>
      <c r="CF93" s="12"/>
      <c r="CG93" s="12"/>
      <c r="CH93" s="12"/>
      <c r="CI93" s="12"/>
      <c r="CJ93" s="12"/>
      <c r="CK93" s="12"/>
    </row>
    <row r="94" spans="2:89" s="11" customFormat="1" ht="20.25" customHeight="1">
      <c r="B94" s="507">
        <v>18</v>
      </c>
      <c r="C94" s="508"/>
      <c r="D94" s="511">
        <f>Ergebniseingabe!E93</f>
        <v>0.7020833333333328</v>
      </c>
      <c r="E94" s="511"/>
      <c r="F94" s="511"/>
      <c r="G94" s="511"/>
      <c r="H94" s="617" t="str">
        <f>Ergebniseingabe!I93</f>
        <v> </v>
      </c>
      <c r="I94" s="618"/>
      <c r="J94" s="618"/>
      <c r="K94" s="618"/>
      <c r="L94" s="618"/>
      <c r="M94" s="618"/>
      <c r="N94" s="618"/>
      <c r="O94" s="618"/>
      <c r="P94" s="618"/>
      <c r="Q94" s="618"/>
      <c r="R94" s="618"/>
      <c r="S94" s="618"/>
      <c r="T94" s="618"/>
      <c r="U94" s="618"/>
      <c r="V94" s="618"/>
      <c r="W94" s="618"/>
      <c r="X94" s="618"/>
      <c r="Y94" s="618"/>
      <c r="Z94" s="618"/>
      <c r="AA94" s="618"/>
      <c r="AB94" s="618"/>
      <c r="AC94" s="110" t="s">
        <v>14</v>
      </c>
      <c r="AD94" s="618" t="str">
        <f>Ergebniseingabe!AE93</f>
        <v> </v>
      </c>
      <c r="AE94" s="618"/>
      <c r="AF94" s="618"/>
      <c r="AG94" s="618"/>
      <c r="AH94" s="618"/>
      <c r="AI94" s="618"/>
      <c r="AJ94" s="618"/>
      <c r="AK94" s="618"/>
      <c r="AL94" s="618"/>
      <c r="AM94" s="618"/>
      <c r="AN94" s="618"/>
      <c r="AO94" s="618"/>
      <c r="AP94" s="618"/>
      <c r="AQ94" s="618"/>
      <c r="AR94" s="618"/>
      <c r="AS94" s="618"/>
      <c r="AT94" s="618"/>
      <c r="AU94" s="618"/>
      <c r="AV94" s="618"/>
      <c r="AW94" s="618"/>
      <c r="AX94" s="624"/>
      <c r="AY94" s="504">
        <f>IF(Ergebniseingabe!AZ93="","",Ergebniseingabe!AZ93)</f>
      </c>
      <c r="AZ94" s="504"/>
      <c r="BA94" s="505"/>
      <c r="BB94" s="506">
        <f>IF(Ergebniseingabe!BC93="","",Ergebniseingabe!BC93)</f>
      </c>
      <c r="BC94" s="506"/>
      <c r="BD94" s="425">
        <f>IF(Ergebniseingabe!BE93="","",Ergebniseingabe!BE93)</f>
      </c>
      <c r="BE94" s="426"/>
      <c r="BF94" s="426"/>
      <c r="BG94" s="427"/>
      <c r="BK94" s="63"/>
      <c r="BL94" s="63"/>
      <c r="BM94" s="63"/>
      <c r="BN94" s="63"/>
      <c r="BO94" s="63"/>
      <c r="BP94" s="63"/>
      <c r="BQ94" s="64"/>
      <c r="BR94" s="64"/>
      <c r="BS94" s="64"/>
      <c r="BT94" s="64"/>
      <c r="BU94" s="65"/>
      <c r="BV94" s="64"/>
      <c r="BW94" s="64"/>
      <c r="BX94" s="63"/>
      <c r="BY94" s="63"/>
      <c r="BZ94" s="63"/>
      <c r="CA94" s="63"/>
      <c r="CB94" s="63"/>
      <c r="CC94" s="63"/>
      <c r="CD94" s="63"/>
      <c r="CE94" s="12"/>
      <c r="CF94" s="12"/>
      <c r="CG94" s="12"/>
      <c r="CH94" s="12"/>
      <c r="CI94" s="12"/>
      <c r="CJ94" s="12"/>
      <c r="CK94" s="12"/>
    </row>
    <row r="95" spans="2:89" s="11" customFormat="1" ht="11.25" customHeight="1" thickBot="1">
      <c r="B95" s="509"/>
      <c r="C95" s="510"/>
      <c r="D95" s="512"/>
      <c r="E95" s="512"/>
      <c r="F95" s="512"/>
      <c r="G95" s="512"/>
      <c r="H95" s="521" t="s">
        <v>43</v>
      </c>
      <c r="I95" s="517"/>
      <c r="J95" s="517"/>
      <c r="K95" s="517"/>
      <c r="L95" s="517"/>
      <c r="M95" s="517"/>
      <c r="N95" s="517"/>
      <c r="O95" s="517"/>
      <c r="P95" s="517"/>
      <c r="Q95" s="517"/>
      <c r="R95" s="517"/>
      <c r="S95" s="517"/>
      <c r="T95" s="517"/>
      <c r="U95" s="517"/>
      <c r="V95" s="517"/>
      <c r="W95" s="517"/>
      <c r="X95" s="517"/>
      <c r="Y95" s="517"/>
      <c r="Z95" s="517"/>
      <c r="AA95" s="517"/>
      <c r="AB95" s="517"/>
      <c r="AC95" s="111"/>
      <c r="AD95" s="517" t="s">
        <v>44</v>
      </c>
      <c r="AE95" s="517"/>
      <c r="AF95" s="517"/>
      <c r="AG95" s="517"/>
      <c r="AH95" s="517"/>
      <c r="AI95" s="517"/>
      <c r="AJ95" s="517"/>
      <c r="AK95" s="517"/>
      <c r="AL95" s="517"/>
      <c r="AM95" s="517"/>
      <c r="AN95" s="517"/>
      <c r="AO95" s="517"/>
      <c r="AP95" s="517"/>
      <c r="AQ95" s="517"/>
      <c r="AR95" s="517"/>
      <c r="AS95" s="517"/>
      <c r="AT95" s="517"/>
      <c r="AU95" s="517"/>
      <c r="AV95" s="517"/>
      <c r="AW95" s="517"/>
      <c r="AX95" s="518"/>
      <c r="AY95" s="497"/>
      <c r="AZ95" s="497"/>
      <c r="BA95" s="497"/>
      <c r="BB95" s="497"/>
      <c r="BC95" s="498"/>
      <c r="BD95" s="443"/>
      <c r="BE95" s="444"/>
      <c r="BF95" s="444"/>
      <c r="BG95" s="445"/>
      <c r="BK95" s="63"/>
      <c r="BL95" s="63"/>
      <c r="BM95" s="63"/>
      <c r="BN95" s="63"/>
      <c r="BO95" s="63"/>
      <c r="BP95" s="63"/>
      <c r="BQ95" s="64"/>
      <c r="BR95" s="64"/>
      <c r="BS95" s="64"/>
      <c r="BT95" s="64"/>
      <c r="BU95" s="65"/>
      <c r="BV95" s="64"/>
      <c r="BW95" s="64"/>
      <c r="BX95" s="63"/>
      <c r="BY95" s="63"/>
      <c r="BZ95" s="63"/>
      <c r="CA95" s="63"/>
      <c r="CB95" s="63"/>
      <c r="CC95" s="63"/>
      <c r="CD95" s="63"/>
      <c r="CE95" s="12"/>
      <c r="CF95" s="12"/>
      <c r="CG95" s="12"/>
      <c r="CH95" s="12"/>
      <c r="CI95" s="12"/>
      <c r="CJ95" s="12"/>
      <c r="CK95" s="12"/>
    </row>
    <row r="96" spans="46:80" s="11" customFormat="1" ht="15">
      <c r="AT96" s="63"/>
      <c r="AU96" s="63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61:80" s="11" customFormat="1" ht="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80" s="11" customFormat="1" ht="15">
      <c r="B98" s="59" t="s">
        <v>45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61:80" s="11" customFormat="1" ht="15" thickBot="1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9:75" s="11" customFormat="1" ht="20.25" customHeight="1">
      <c r="I100" s="478" t="s">
        <v>46</v>
      </c>
      <c r="J100" s="479"/>
      <c r="K100" s="488" t="str">
        <f>Ergebniseingabe!L98</f>
        <v> </v>
      </c>
      <c r="L100" s="489"/>
      <c r="M100" s="489"/>
      <c r="N100" s="489"/>
      <c r="O100" s="489"/>
      <c r="P100" s="489"/>
      <c r="Q100" s="489"/>
      <c r="R100" s="489"/>
      <c r="S100" s="489"/>
      <c r="T100" s="489"/>
      <c r="U100" s="489"/>
      <c r="V100" s="489"/>
      <c r="W100" s="489"/>
      <c r="X100" s="489"/>
      <c r="Y100" s="489"/>
      <c r="Z100" s="489"/>
      <c r="AA100" s="489"/>
      <c r="AB100" s="489"/>
      <c r="AC100" s="489"/>
      <c r="AD100" s="489"/>
      <c r="AE100" s="490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9:75" s="11" customFormat="1" ht="20.25" customHeight="1">
      <c r="I101" s="476" t="s">
        <v>47</v>
      </c>
      <c r="J101" s="477"/>
      <c r="K101" s="485" t="str">
        <f>Ergebniseingabe!L99</f>
        <v> </v>
      </c>
      <c r="L101" s="486"/>
      <c r="M101" s="486"/>
      <c r="N101" s="486"/>
      <c r="O101" s="486"/>
      <c r="P101" s="486"/>
      <c r="Q101" s="486"/>
      <c r="R101" s="486"/>
      <c r="S101" s="486"/>
      <c r="T101" s="486"/>
      <c r="U101" s="486"/>
      <c r="V101" s="486"/>
      <c r="W101" s="486"/>
      <c r="X101" s="486"/>
      <c r="Y101" s="486"/>
      <c r="Z101" s="486"/>
      <c r="AA101" s="486"/>
      <c r="AB101" s="486"/>
      <c r="AC101" s="486"/>
      <c r="AD101" s="486"/>
      <c r="AE101" s="487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9:75" s="11" customFormat="1" ht="20.25" customHeight="1">
      <c r="I102" s="476" t="s">
        <v>48</v>
      </c>
      <c r="J102" s="477"/>
      <c r="K102" s="485" t="str">
        <f>Ergebniseingabe!L100</f>
        <v> </v>
      </c>
      <c r="L102" s="486"/>
      <c r="M102" s="486"/>
      <c r="N102" s="486"/>
      <c r="O102" s="486"/>
      <c r="P102" s="486"/>
      <c r="Q102" s="486"/>
      <c r="R102" s="486"/>
      <c r="S102" s="486"/>
      <c r="T102" s="486"/>
      <c r="U102" s="486"/>
      <c r="V102" s="486"/>
      <c r="W102" s="486"/>
      <c r="X102" s="486"/>
      <c r="Y102" s="486"/>
      <c r="Z102" s="486"/>
      <c r="AA102" s="486"/>
      <c r="AB102" s="486"/>
      <c r="AC102" s="486"/>
      <c r="AD102" s="486"/>
      <c r="AE102" s="487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9:75" s="11" customFormat="1" ht="20.25" customHeight="1">
      <c r="I103" s="476" t="s">
        <v>49</v>
      </c>
      <c r="J103" s="477"/>
      <c r="K103" s="485" t="str">
        <f>Ergebniseingabe!L101</f>
        <v> </v>
      </c>
      <c r="L103" s="486"/>
      <c r="M103" s="486"/>
      <c r="N103" s="486"/>
      <c r="O103" s="486"/>
      <c r="P103" s="486"/>
      <c r="Q103" s="486"/>
      <c r="R103" s="486"/>
      <c r="S103" s="486"/>
      <c r="T103" s="486"/>
      <c r="U103" s="486"/>
      <c r="V103" s="486"/>
      <c r="W103" s="486"/>
      <c r="X103" s="486"/>
      <c r="Y103" s="486"/>
      <c r="Z103" s="486"/>
      <c r="AA103" s="486"/>
      <c r="AB103" s="486"/>
      <c r="AC103" s="486"/>
      <c r="AD103" s="486"/>
      <c r="AE103" s="487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9:75" s="11" customFormat="1" ht="20.25" customHeight="1">
      <c r="I104" s="476" t="s">
        <v>50</v>
      </c>
      <c r="J104" s="477"/>
      <c r="K104" s="485" t="str">
        <f>Ergebniseingabe!L102</f>
        <v> </v>
      </c>
      <c r="L104" s="486"/>
      <c r="M104" s="486"/>
      <c r="N104" s="486"/>
      <c r="O104" s="486"/>
      <c r="P104" s="486"/>
      <c r="Q104" s="486"/>
      <c r="R104" s="486"/>
      <c r="S104" s="486"/>
      <c r="T104" s="486"/>
      <c r="U104" s="486"/>
      <c r="V104" s="486"/>
      <c r="W104" s="486"/>
      <c r="X104" s="486"/>
      <c r="Y104" s="486"/>
      <c r="Z104" s="486"/>
      <c r="AA104" s="486"/>
      <c r="AB104" s="486"/>
      <c r="AC104" s="486"/>
      <c r="AD104" s="486"/>
      <c r="AE104" s="487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9:75" s="11" customFormat="1" ht="20.25" customHeight="1">
      <c r="I105" s="476" t="s">
        <v>51</v>
      </c>
      <c r="J105" s="477"/>
      <c r="K105" s="485" t="str">
        <f>Ergebniseingabe!L103</f>
        <v> </v>
      </c>
      <c r="L105" s="486"/>
      <c r="M105" s="486"/>
      <c r="N105" s="486"/>
      <c r="O105" s="486"/>
      <c r="P105" s="486"/>
      <c r="Q105" s="486"/>
      <c r="R105" s="486"/>
      <c r="S105" s="486"/>
      <c r="T105" s="486"/>
      <c r="U105" s="486"/>
      <c r="V105" s="486"/>
      <c r="W105" s="486"/>
      <c r="X105" s="486"/>
      <c r="Y105" s="486"/>
      <c r="Z105" s="486"/>
      <c r="AA105" s="486"/>
      <c r="AB105" s="486"/>
      <c r="AC105" s="486"/>
      <c r="AD105" s="486"/>
      <c r="AE105" s="487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9:75" s="11" customFormat="1" ht="20.25" customHeight="1">
      <c r="I106" s="476" t="s">
        <v>52</v>
      </c>
      <c r="J106" s="477"/>
      <c r="K106" s="485" t="str">
        <f>Ergebniseingabe!L104</f>
        <v> </v>
      </c>
      <c r="L106" s="486"/>
      <c r="M106" s="486"/>
      <c r="N106" s="486"/>
      <c r="O106" s="486"/>
      <c r="P106" s="486"/>
      <c r="Q106" s="486"/>
      <c r="R106" s="486"/>
      <c r="S106" s="486"/>
      <c r="T106" s="486"/>
      <c r="U106" s="486"/>
      <c r="V106" s="486"/>
      <c r="W106" s="486"/>
      <c r="X106" s="486"/>
      <c r="Y106" s="486"/>
      <c r="Z106" s="486"/>
      <c r="AA106" s="486"/>
      <c r="AB106" s="486"/>
      <c r="AC106" s="486"/>
      <c r="AD106" s="486"/>
      <c r="AE106" s="487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9:75" s="11" customFormat="1" ht="20.25" customHeight="1" thickBot="1">
      <c r="I107" s="480" t="s">
        <v>53</v>
      </c>
      <c r="J107" s="481"/>
      <c r="K107" s="482" t="str">
        <f>Ergebniseingabe!L105</f>
        <v> </v>
      </c>
      <c r="L107" s="483"/>
      <c r="M107" s="483"/>
      <c r="N107" s="483"/>
      <c r="O107" s="483"/>
      <c r="P107" s="483"/>
      <c r="Q107" s="483"/>
      <c r="R107" s="483"/>
      <c r="S107" s="483"/>
      <c r="T107" s="483"/>
      <c r="U107" s="483"/>
      <c r="V107" s="483"/>
      <c r="W107" s="483"/>
      <c r="X107" s="483"/>
      <c r="Y107" s="483"/>
      <c r="Z107" s="483"/>
      <c r="AA107" s="483"/>
      <c r="AB107" s="483"/>
      <c r="AC107" s="483"/>
      <c r="AD107" s="483"/>
      <c r="AE107" s="484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9:79" s="11" customFormat="1" ht="20.25" customHeight="1">
      <c r="I108" s="115"/>
      <c r="J108" s="115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159" customFormat="1" ht="12.75" customHeight="1">
      <c r="B109" s="195" t="s">
        <v>67</v>
      </c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</row>
    <row r="110" spans="2:104" s="44" customFormat="1" ht="12.75" customHeight="1">
      <c r="B110" s="196" t="s">
        <v>68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</row>
    <row r="111" spans="2:104" s="44" customFormat="1" ht="12.75" customHeight="1">
      <c r="B111" s="196" t="s">
        <v>69</v>
      </c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</row>
    <row r="112" spans="2:104" s="44" customFormat="1" ht="12.75" customHeight="1">
      <c r="B112" s="196" t="s">
        <v>70</v>
      </c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Y112" s="155"/>
      <c r="CZ112" s="155"/>
    </row>
    <row r="113" spans="2:91" s="44" customFormat="1" ht="38.25" customHeight="1">
      <c r="B113" s="194" t="s">
        <v>71</v>
      </c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</row>
    <row r="114" spans="2:91" s="44" customFormat="1" ht="12.75" customHeight="1">
      <c r="B114" s="193" t="s">
        <v>72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</row>
    <row r="115" spans="2:91" s="44" customFormat="1" ht="12.75" customHeight="1">
      <c r="B115" s="193" t="s">
        <v>73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</row>
    <row r="116" spans="2:91" s="44" customFormat="1" ht="12.75" customHeight="1">
      <c r="B116" s="193" t="s">
        <v>74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</row>
    <row r="117" spans="2:91" s="44" customFormat="1" ht="12.75" customHeight="1">
      <c r="B117" s="193" t="s">
        <v>75</v>
      </c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</row>
    <row r="118" spans="68:87" s="35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35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scenarios="1" selectLockedCells="1"/>
  <mergeCells count="404">
    <mergeCell ref="B23:C23"/>
    <mergeCell ref="B8:AT8"/>
    <mergeCell ref="B4:AT4"/>
    <mergeCell ref="B3:AT3"/>
    <mergeCell ref="AB16:AV16"/>
    <mergeCell ref="AB15:AV15"/>
    <mergeCell ref="C18:W18"/>
    <mergeCell ref="C17:W17"/>
    <mergeCell ref="C16:W16"/>
    <mergeCell ref="C15:W15"/>
    <mergeCell ref="AB18:AV18"/>
    <mergeCell ref="AB17:AV17"/>
    <mergeCell ref="B2:AT2"/>
    <mergeCell ref="B6:AT6"/>
    <mergeCell ref="AD78:AX78"/>
    <mergeCell ref="AD74:AX74"/>
    <mergeCell ref="AD79:AX79"/>
    <mergeCell ref="AD75:AX75"/>
    <mergeCell ref="H81:AX81"/>
    <mergeCell ref="H77:AX77"/>
    <mergeCell ref="B74:C75"/>
    <mergeCell ref="AM71:AU71"/>
    <mergeCell ref="AD94:AX94"/>
    <mergeCell ref="AD90:AX90"/>
    <mergeCell ref="H94:AB94"/>
    <mergeCell ref="H90:AB90"/>
    <mergeCell ref="H93:AX93"/>
    <mergeCell ref="AD91:AX91"/>
    <mergeCell ref="H91:AB91"/>
    <mergeCell ref="AD86:AX86"/>
    <mergeCell ref="B94:C95"/>
    <mergeCell ref="B93:C93"/>
    <mergeCell ref="B77:C77"/>
    <mergeCell ref="AD87:AX87"/>
    <mergeCell ref="H87:AB87"/>
    <mergeCell ref="B22:C22"/>
    <mergeCell ref="D22:F22"/>
    <mergeCell ref="B24:C24"/>
    <mergeCell ref="K23:AE23"/>
    <mergeCell ref="B31:C31"/>
    <mergeCell ref="K32:AE32"/>
    <mergeCell ref="K31:AE31"/>
    <mergeCell ref="K24:AE24"/>
    <mergeCell ref="K30:AE30"/>
    <mergeCell ref="K29:AE29"/>
    <mergeCell ref="B43:H43"/>
    <mergeCell ref="B32:C32"/>
    <mergeCell ref="AB14:AV14"/>
    <mergeCell ref="C14:W14"/>
    <mergeCell ref="K22:BA22"/>
    <mergeCell ref="B90:C91"/>
    <mergeCell ref="B89:C89"/>
    <mergeCell ref="B26:C26"/>
    <mergeCell ref="B27:C27"/>
    <mergeCell ref="B29:C29"/>
    <mergeCell ref="B86:C87"/>
    <mergeCell ref="B73:C73"/>
    <mergeCell ref="AV71:AZ71"/>
    <mergeCell ref="G26:J26"/>
    <mergeCell ref="G23:J23"/>
    <mergeCell ref="G27:J27"/>
    <mergeCell ref="G25:J25"/>
    <mergeCell ref="G24:J24"/>
    <mergeCell ref="AG24:BA24"/>
    <mergeCell ref="AG23:BA23"/>
    <mergeCell ref="AG25:BA25"/>
    <mergeCell ref="J48:K48"/>
    <mergeCell ref="G32:J32"/>
    <mergeCell ref="H79:AB79"/>
    <mergeCell ref="H75:AB75"/>
    <mergeCell ref="AB71:AG71"/>
    <mergeCell ref="D73:G73"/>
    <mergeCell ref="J61:K61"/>
    <mergeCell ref="J60:K60"/>
    <mergeCell ref="AG33:BA33"/>
    <mergeCell ref="AH71:AL71"/>
    <mergeCell ref="H78:AB78"/>
    <mergeCell ref="B78:C79"/>
    <mergeCell ref="F60:H60"/>
    <mergeCell ref="F61:H61"/>
    <mergeCell ref="A71:F71"/>
    <mergeCell ref="G71:J71"/>
    <mergeCell ref="K33:AE33"/>
    <mergeCell ref="G33:J33"/>
    <mergeCell ref="H74:AB74"/>
    <mergeCell ref="T71:U71"/>
    <mergeCell ref="W71:AA71"/>
    <mergeCell ref="D27:F27"/>
    <mergeCell ref="D26:F26"/>
    <mergeCell ref="AD83:AX83"/>
    <mergeCell ref="B34:C34"/>
    <mergeCell ref="D32:F32"/>
    <mergeCell ref="B33:C33"/>
    <mergeCell ref="D31:F31"/>
    <mergeCell ref="K26:AE26"/>
    <mergeCell ref="D28:F28"/>
    <mergeCell ref="AS46:AU46"/>
    <mergeCell ref="BB22:BF22"/>
    <mergeCell ref="BB23:BD23"/>
    <mergeCell ref="BB24:BD24"/>
    <mergeCell ref="BE25:BF25"/>
    <mergeCell ref="BE23:BF23"/>
    <mergeCell ref="BB25:BD25"/>
    <mergeCell ref="BE24:BF24"/>
    <mergeCell ref="D23:F23"/>
    <mergeCell ref="D24:F24"/>
    <mergeCell ref="AG32:BA32"/>
    <mergeCell ref="AG31:BA31"/>
    <mergeCell ref="AG30:BA30"/>
    <mergeCell ref="AG29:BA29"/>
    <mergeCell ref="G30:J30"/>
    <mergeCell ref="G29:J29"/>
    <mergeCell ref="D29:F29"/>
    <mergeCell ref="K25:AE25"/>
    <mergeCell ref="BB28:BD28"/>
    <mergeCell ref="BE30:BF30"/>
    <mergeCell ref="B25:C25"/>
    <mergeCell ref="D25:F25"/>
    <mergeCell ref="B28:C28"/>
    <mergeCell ref="AG27:BA27"/>
    <mergeCell ref="AG28:BA28"/>
    <mergeCell ref="AG26:BA26"/>
    <mergeCell ref="K27:AE27"/>
    <mergeCell ref="G28:J28"/>
    <mergeCell ref="BE32:BF32"/>
    <mergeCell ref="BB33:BD33"/>
    <mergeCell ref="BB44:BD44"/>
    <mergeCell ref="BE29:BF29"/>
    <mergeCell ref="BB30:BD30"/>
    <mergeCell ref="BB29:BD29"/>
    <mergeCell ref="BE34:BF34"/>
    <mergeCell ref="BE33:BF33"/>
    <mergeCell ref="BB34:BD34"/>
    <mergeCell ref="BJ61:BL61"/>
    <mergeCell ref="AS61:AU61"/>
    <mergeCell ref="BH61:BI61"/>
    <mergeCell ref="BB61:BD61"/>
    <mergeCell ref="AY61:BA61"/>
    <mergeCell ref="BE61:BF61"/>
    <mergeCell ref="AV61:AX61"/>
    <mergeCell ref="AV46:AX46"/>
    <mergeCell ref="AS44:AU44"/>
    <mergeCell ref="AV44:AX44"/>
    <mergeCell ref="AY46:BA46"/>
    <mergeCell ref="AG37:AI44"/>
    <mergeCell ref="AM37:AO44"/>
    <mergeCell ref="AJ37:AL44"/>
    <mergeCell ref="BB32:BD32"/>
    <mergeCell ref="BE31:BF31"/>
    <mergeCell ref="K28:AE28"/>
    <mergeCell ref="BB31:BD31"/>
    <mergeCell ref="AG34:BA34"/>
    <mergeCell ref="AS45:AU45"/>
    <mergeCell ref="AV45:AX45"/>
    <mergeCell ref="AY45:BA45"/>
    <mergeCell ref="AP37:AR44"/>
    <mergeCell ref="AY44:BA44"/>
    <mergeCell ref="BM60:BO60"/>
    <mergeCell ref="BJ59:BL59"/>
    <mergeCell ref="BJ58:BL58"/>
    <mergeCell ref="BJ48:BL48"/>
    <mergeCell ref="K34:AE34"/>
    <mergeCell ref="BE26:BF26"/>
    <mergeCell ref="BE27:BF27"/>
    <mergeCell ref="BE28:BF28"/>
    <mergeCell ref="BB27:BD27"/>
    <mergeCell ref="BB26:BD26"/>
    <mergeCell ref="AV60:AX60"/>
    <mergeCell ref="AY58:BA58"/>
    <mergeCell ref="AV58:AX58"/>
    <mergeCell ref="AV59:AX59"/>
    <mergeCell ref="AY60:BA60"/>
    <mergeCell ref="BM48:BO48"/>
    <mergeCell ref="BJ57:BL57"/>
    <mergeCell ref="BJ60:BL60"/>
    <mergeCell ref="BM57:BO57"/>
    <mergeCell ref="BM58:BO58"/>
    <mergeCell ref="AS58:AU58"/>
    <mergeCell ref="AS59:AU59"/>
    <mergeCell ref="BB58:BD58"/>
    <mergeCell ref="BH58:BI58"/>
    <mergeCell ref="BE58:BF58"/>
    <mergeCell ref="BH59:BI59"/>
    <mergeCell ref="BE59:BF59"/>
    <mergeCell ref="BE57:BI57"/>
    <mergeCell ref="BM44:BO44"/>
    <mergeCell ref="BE44:BI44"/>
    <mergeCell ref="BJ44:BL44"/>
    <mergeCell ref="BH45:BI45"/>
    <mergeCell ref="BM45:BO45"/>
    <mergeCell ref="BE45:BF45"/>
    <mergeCell ref="BJ45:BL45"/>
    <mergeCell ref="BM47:BO47"/>
    <mergeCell ref="BB46:BD46"/>
    <mergeCell ref="BJ47:BL47"/>
    <mergeCell ref="BE46:BF46"/>
    <mergeCell ref="BE47:BF47"/>
    <mergeCell ref="BB47:BD47"/>
    <mergeCell ref="BJ46:BL46"/>
    <mergeCell ref="BM46:BO46"/>
    <mergeCell ref="BB48:BD48"/>
    <mergeCell ref="BH48:BI48"/>
    <mergeCell ref="BB45:BD45"/>
    <mergeCell ref="BE48:BF48"/>
    <mergeCell ref="BH47:BI47"/>
    <mergeCell ref="BH46:BI46"/>
    <mergeCell ref="AS47:AU47"/>
    <mergeCell ref="AY47:BA47"/>
    <mergeCell ref="AY48:BA48"/>
    <mergeCell ref="AY57:BA57"/>
    <mergeCell ref="AV48:AX48"/>
    <mergeCell ref="AV57:AX57"/>
    <mergeCell ref="AS57:AU57"/>
    <mergeCell ref="AS48:AU48"/>
    <mergeCell ref="AV47:AX47"/>
    <mergeCell ref="AG50:AI57"/>
    <mergeCell ref="BB78:BC78"/>
    <mergeCell ref="AY77:BC77"/>
    <mergeCell ref="AY78:BA78"/>
    <mergeCell ref="AY73:BC73"/>
    <mergeCell ref="AY75:BC75"/>
    <mergeCell ref="AY74:BA74"/>
    <mergeCell ref="BB74:BC74"/>
    <mergeCell ref="AP50:AR57"/>
    <mergeCell ref="BB57:BD57"/>
    <mergeCell ref="BM61:BO61"/>
    <mergeCell ref="BB59:BD59"/>
    <mergeCell ref="F59:H59"/>
    <mergeCell ref="BB60:BD60"/>
    <mergeCell ref="AP59:AR59"/>
    <mergeCell ref="AJ59:AL59"/>
    <mergeCell ref="AY59:BA59"/>
    <mergeCell ref="BM59:BO59"/>
    <mergeCell ref="BH60:BI60"/>
    <mergeCell ref="BE60:BF60"/>
    <mergeCell ref="L47:AF47"/>
    <mergeCell ref="AS60:AU60"/>
    <mergeCell ref="AP61:AR61"/>
    <mergeCell ref="AP60:AR60"/>
    <mergeCell ref="AJ61:AL61"/>
    <mergeCell ref="AJ60:AL60"/>
    <mergeCell ref="AM61:AO61"/>
    <mergeCell ref="AM60:AO60"/>
    <mergeCell ref="AM50:AO57"/>
    <mergeCell ref="AJ50:AL57"/>
    <mergeCell ref="G34:J34"/>
    <mergeCell ref="J45:K45"/>
    <mergeCell ref="G31:J31"/>
    <mergeCell ref="J59:K59"/>
    <mergeCell ref="J47:K47"/>
    <mergeCell ref="J46:K46"/>
    <mergeCell ref="J57:AF57"/>
    <mergeCell ref="L46:AF46"/>
    <mergeCell ref="L59:AF59"/>
    <mergeCell ref="L48:AF48"/>
    <mergeCell ref="D77:G77"/>
    <mergeCell ref="D74:G75"/>
    <mergeCell ref="D86:G87"/>
    <mergeCell ref="F45:H45"/>
    <mergeCell ref="D30:F30"/>
    <mergeCell ref="D33:F33"/>
    <mergeCell ref="F44:H44"/>
    <mergeCell ref="B44:E44"/>
    <mergeCell ref="B30:C30"/>
    <mergeCell ref="D34:F34"/>
    <mergeCell ref="B46:E46"/>
    <mergeCell ref="B56:H56"/>
    <mergeCell ref="B57:E57"/>
    <mergeCell ref="F47:H47"/>
    <mergeCell ref="F46:H46"/>
    <mergeCell ref="F57:H57"/>
    <mergeCell ref="F48:H48"/>
    <mergeCell ref="B64:AT64"/>
    <mergeCell ref="B69:AT69"/>
    <mergeCell ref="D94:G95"/>
    <mergeCell ref="D93:G93"/>
    <mergeCell ref="D90:G91"/>
    <mergeCell ref="H83:AB83"/>
    <mergeCell ref="B81:C81"/>
    <mergeCell ref="D81:G81"/>
    <mergeCell ref="D89:G89"/>
    <mergeCell ref="D78:G79"/>
    <mergeCell ref="AY90:BA90"/>
    <mergeCell ref="BB94:BC94"/>
    <mergeCell ref="BB90:BC90"/>
    <mergeCell ref="AY93:BC93"/>
    <mergeCell ref="H89:AX89"/>
    <mergeCell ref="AD95:AX95"/>
    <mergeCell ref="H95:AB95"/>
    <mergeCell ref="H85:AX85"/>
    <mergeCell ref="AY89:BC89"/>
    <mergeCell ref="AY81:BC81"/>
    <mergeCell ref="AY86:BA86"/>
    <mergeCell ref="BB86:BC86"/>
    <mergeCell ref="AY87:BC87"/>
    <mergeCell ref="AD82:AX82"/>
    <mergeCell ref="H86:AB86"/>
    <mergeCell ref="H82:AB82"/>
    <mergeCell ref="B48:E48"/>
    <mergeCell ref="B47:E47"/>
    <mergeCell ref="B85:C85"/>
    <mergeCell ref="D85:G85"/>
    <mergeCell ref="AY85:BC85"/>
    <mergeCell ref="AY82:BA82"/>
    <mergeCell ref="BB82:BC82"/>
    <mergeCell ref="AY83:BC83"/>
    <mergeCell ref="B82:C83"/>
    <mergeCell ref="D82:G83"/>
    <mergeCell ref="BD82:BG82"/>
    <mergeCell ref="BD81:BG81"/>
    <mergeCell ref="G22:J22"/>
    <mergeCell ref="AY79:BC79"/>
    <mergeCell ref="B65:AT65"/>
    <mergeCell ref="B45:E45"/>
    <mergeCell ref="B61:E61"/>
    <mergeCell ref="B60:E60"/>
    <mergeCell ref="B59:E59"/>
    <mergeCell ref="B58:E58"/>
    <mergeCell ref="K101:AE101"/>
    <mergeCell ref="K100:AE100"/>
    <mergeCell ref="BD95:BG95"/>
    <mergeCell ref="BD94:BG94"/>
    <mergeCell ref="BD93:BG93"/>
    <mergeCell ref="BD91:BG91"/>
    <mergeCell ref="AY94:BA94"/>
    <mergeCell ref="AY95:BC95"/>
    <mergeCell ref="AY91:BC91"/>
    <mergeCell ref="K107:AE107"/>
    <mergeCell ref="K106:AE106"/>
    <mergeCell ref="K105:AE105"/>
    <mergeCell ref="K104:AE104"/>
    <mergeCell ref="K103:AE103"/>
    <mergeCell ref="K102:AE102"/>
    <mergeCell ref="I103:J103"/>
    <mergeCell ref="I102:J102"/>
    <mergeCell ref="I101:J101"/>
    <mergeCell ref="I100:J100"/>
    <mergeCell ref="I107:J107"/>
    <mergeCell ref="I106:J106"/>
    <mergeCell ref="I105:J105"/>
    <mergeCell ref="I104:J104"/>
    <mergeCell ref="AG47:AI47"/>
    <mergeCell ref="AG46:AI46"/>
    <mergeCell ref="AJ48:AL48"/>
    <mergeCell ref="AP46:AR46"/>
    <mergeCell ref="AM48:AO48"/>
    <mergeCell ref="AM47:AO47"/>
    <mergeCell ref="AM46:AO46"/>
    <mergeCell ref="AP48:AR48"/>
    <mergeCell ref="AP47:AR47"/>
    <mergeCell ref="AM59:AO59"/>
    <mergeCell ref="AM58:AO58"/>
    <mergeCell ref="AG61:AI61"/>
    <mergeCell ref="AG60:AI60"/>
    <mergeCell ref="AG59:AI59"/>
    <mergeCell ref="AG58:AI58"/>
    <mergeCell ref="AJ58:AL58"/>
    <mergeCell ref="L45:AF45"/>
    <mergeCell ref="J58:K58"/>
    <mergeCell ref="AP45:AR45"/>
    <mergeCell ref="AM45:AO45"/>
    <mergeCell ref="AJ45:AL45"/>
    <mergeCell ref="AG45:AI45"/>
    <mergeCell ref="AJ47:AL47"/>
    <mergeCell ref="AJ46:AL46"/>
    <mergeCell ref="AG48:AI48"/>
    <mergeCell ref="L58:AF58"/>
    <mergeCell ref="BD79:BG79"/>
    <mergeCell ref="BD78:BG78"/>
    <mergeCell ref="BD77:BG77"/>
    <mergeCell ref="BD75:BG75"/>
    <mergeCell ref="BD90:BG90"/>
    <mergeCell ref="BD89:BG89"/>
    <mergeCell ref="BD87:BG87"/>
    <mergeCell ref="BD86:BG86"/>
    <mergeCell ref="BD85:BG85"/>
    <mergeCell ref="BD83:BG83"/>
    <mergeCell ref="AW3:BD3"/>
    <mergeCell ref="AV65:BC65"/>
    <mergeCell ref="BD74:BG74"/>
    <mergeCell ref="BD73:BG73"/>
    <mergeCell ref="H73:AX73"/>
    <mergeCell ref="F58:H58"/>
    <mergeCell ref="AP58:AR58"/>
    <mergeCell ref="J44:AF44"/>
    <mergeCell ref="L61:AF61"/>
    <mergeCell ref="L60:AF60"/>
    <mergeCell ref="AB10:AG10"/>
    <mergeCell ref="AH10:AL10"/>
    <mergeCell ref="AM10:AU10"/>
    <mergeCell ref="AV10:AZ10"/>
    <mergeCell ref="A10:F10"/>
    <mergeCell ref="G10:J10"/>
    <mergeCell ref="T10:U10"/>
    <mergeCell ref="W10:AA10"/>
    <mergeCell ref="B117:AV117"/>
    <mergeCell ref="B113:AV113"/>
    <mergeCell ref="B114:AV114"/>
    <mergeCell ref="B115:AV115"/>
    <mergeCell ref="B116:AV116"/>
    <mergeCell ref="B109:AV109"/>
    <mergeCell ref="B110:AV110"/>
    <mergeCell ref="B111:AV111"/>
    <mergeCell ref="B112:AV112"/>
  </mergeCells>
  <conditionalFormatting sqref="H78 H90 H94 H74 H86 H82 K23:K34">
    <cfRule type="expression" priority="1" dxfId="34" stopIfTrue="1">
      <formula>AND(AY23&gt;BB23,AY23&lt;&gt;"",BB23&lt;&gt;"")</formula>
    </cfRule>
    <cfRule type="expression" priority="2" dxfId="33" stopIfTrue="1">
      <formula>AND(AY23=BB23,AY23&lt;&gt;"",BB23&lt;&gt;"")</formula>
    </cfRule>
    <cfRule type="expression" priority="3" dxfId="0" stopIfTrue="1">
      <formula>AND(AY23&lt;BB23,AY23&lt;&gt;"",BB23&lt;&gt;"")</formula>
    </cfRule>
  </conditionalFormatting>
  <conditionalFormatting sqref="AD78 AD90 AD94 AD74 AD86 AD82 AG23:AG34">
    <cfRule type="expression" priority="4" dxfId="34" stopIfTrue="1">
      <formula>AND(BB23&gt;AY23,AY23&lt;&gt;"",BB23&lt;&gt;"")</formula>
    </cfRule>
    <cfRule type="expression" priority="5" dxfId="33" stopIfTrue="1">
      <formula>AND(BB23=AY23,AY23&lt;&gt;"",BB23&lt;&gt;"")</formula>
    </cfRule>
    <cfRule type="expression" priority="6" dxfId="0" stopIfTrue="1">
      <formula>AND(BB23&lt;AY23,AY23&lt;&gt;"",BB23&lt;&gt;"")</formula>
    </cfRule>
  </conditionalFormatting>
  <conditionalFormatting sqref="AG49:AR49 AS49:BO55 AG48:BO48 L49:AF55">
    <cfRule type="expression" priority="7" dxfId="0" stopIfTrue="1">
      <formula>$J$48=""</formula>
    </cfRule>
  </conditionalFormatting>
  <conditionalFormatting sqref="AG45:BO45">
    <cfRule type="expression" priority="8" dxfId="0" stopIfTrue="1">
      <formula>$J$46=""</formula>
    </cfRule>
  </conditionalFormatting>
  <conditionalFormatting sqref="AG46:BO46">
    <cfRule type="expression" priority="9" dxfId="0" stopIfTrue="1">
      <formula>$J$46=""</formula>
    </cfRule>
    <cfRule type="expression" priority="10" dxfId="0" stopIfTrue="1">
      <formula>$J$47=""</formula>
    </cfRule>
  </conditionalFormatting>
  <conditionalFormatting sqref="AG47:BO47">
    <cfRule type="expression" priority="11" dxfId="0" stopIfTrue="1">
      <formula>$J$47=""</formula>
    </cfRule>
    <cfRule type="expression" priority="12" dxfId="0" stopIfTrue="1">
      <formula>$J$48=""</formula>
    </cfRule>
  </conditionalFormatting>
  <conditionalFormatting sqref="AG58:BO58">
    <cfRule type="expression" priority="13" dxfId="0" stopIfTrue="1">
      <formula>$J$59=""</formula>
    </cfRule>
  </conditionalFormatting>
  <conditionalFormatting sqref="AG59:BO59">
    <cfRule type="expression" priority="14" dxfId="0" stopIfTrue="1">
      <formula>$J$59=""</formula>
    </cfRule>
    <cfRule type="expression" priority="15" dxfId="0" stopIfTrue="1">
      <formula>$J$60=""</formula>
    </cfRule>
  </conditionalFormatting>
  <conditionalFormatting sqref="AG60:BO60">
    <cfRule type="expression" priority="16" dxfId="0" stopIfTrue="1">
      <formula>$J$60=""</formula>
    </cfRule>
    <cfRule type="expression" priority="17" dxfId="0" stopIfTrue="1">
      <formula>$J$61=""</formula>
    </cfRule>
  </conditionalFormatting>
  <conditionalFormatting sqref="AG61:BO61">
    <cfRule type="expression" priority="18" dxfId="0" stopIfTrue="1">
      <formula>$J$61=""</formula>
    </cfRule>
  </conditionalFormatting>
  <conditionalFormatting sqref="L45">
    <cfRule type="expression" priority="19" dxfId="1" stopIfTrue="1">
      <formula>$AS$45=""</formula>
    </cfRule>
    <cfRule type="expression" priority="20" dxfId="0" stopIfTrue="1">
      <formula>$J$46=""</formula>
    </cfRule>
  </conditionalFormatting>
  <conditionalFormatting sqref="L46">
    <cfRule type="expression" priority="21" dxfId="1" stopIfTrue="1">
      <formula>$AS$46=""</formula>
    </cfRule>
    <cfRule type="expression" priority="22" dxfId="0" stopIfTrue="1">
      <formula>$J$46=""</formula>
    </cfRule>
    <cfRule type="expression" priority="23" dxfId="0" stopIfTrue="1">
      <formula>$J$47=""</formula>
    </cfRule>
  </conditionalFormatting>
  <conditionalFormatting sqref="L47">
    <cfRule type="expression" priority="24" dxfId="1" stopIfTrue="1">
      <formula>$AS$47=""</formula>
    </cfRule>
    <cfRule type="expression" priority="25" dxfId="0" stopIfTrue="1">
      <formula>$J$47=""</formula>
    </cfRule>
    <cfRule type="expression" priority="26" dxfId="0" stopIfTrue="1">
      <formula>$J$48=""</formula>
    </cfRule>
  </conditionalFormatting>
  <conditionalFormatting sqref="L48">
    <cfRule type="expression" priority="27" dxfId="1" stopIfTrue="1">
      <formula>$AS$48=""</formula>
    </cfRule>
    <cfRule type="expression" priority="28" dxfId="0" stopIfTrue="1">
      <formula>$J$48=""</formula>
    </cfRule>
  </conditionalFormatting>
  <conditionalFormatting sqref="L58">
    <cfRule type="expression" priority="29" dxfId="1" stopIfTrue="1">
      <formula>$AS$58=""</formula>
    </cfRule>
    <cfRule type="expression" priority="30" dxfId="0" stopIfTrue="1">
      <formula>$J$59=""</formula>
    </cfRule>
  </conditionalFormatting>
  <conditionalFormatting sqref="L59">
    <cfRule type="expression" priority="31" dxfId="1" stopIfTrue="1">
      <formula>$AS$59=""</formula>
    </cfRule>
    <cfRule type="expression" priority="32" dxfId="0" stopIfTrue="1">
      <formula>$J$59=""</formula>
    </cfRule>
    <cfRule type="expression" priority="33" dxfId="0" stopIfTrue="1">
      <formula>$J$60=""</formula>
    </cfRule>
  </conditionalFormatting>
  <conditionalFormatting sqref="L60">
    <cfRule type="expression" priority="34" dxfId="1" stopIfTrue="1">
      <formula>$AS$60=""</formula>
    </cfRule>
    <cfRule type="expression" priority="35" dxfId="0" stopIfTrue="1">
      <formula>$J$60=""</formula>
    </cfRule>
    <cfRule type="expression" priority="36" dxfId="0" stopIfTrue="1">
      <formula>$J$61=""</formula>
    </cfRule>
  </conditionalFormatting>
  <conditionalFormatting sqref="L61">
    <cfRule type="expression" priority="37" dxfId="1" stopIfTrue="1">
      <formula>$AS$61=""</formula>
    </cfRule>
    <cfRule type="expression" priority="38" dxfId="0" stopIfTrue="1">
      <formula>$J$61=""</formula>
    </cfRule>
  </conditionalFormatting>
  <dataValidations count="2">
    <dataValidation type="whole" operator="greaterThanOrEqual" allowBlank="1" showErrorMessage="1" errorTitle="Fehler" error="Nur Zahlen eingeben!" sqref="AV71:AZ71 W71:AA71 AV10:AZ10 W10:AA10">
      <formula1>0</formula1>
    </dataValidation>
    <dataValidation type="whole" allowBlank="1" showErrorMessage="1" errorTitle="Zahlen" error="Nur Zahleneingabe möglich" sqref="AY95 AY91 AY75 AY79:AY80 AY87:AY88 AY83">
      <formula1>0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66" r:id="rId1"/>
  <headerFooter alignWithMargins="0">
    <oddFooter xml:space="preserve">&amp;R&amp;P von &amp;N </oddFooter>
  </headerFooter>
  <rowBreaks count="1" manualBreakCount="1">
    <brk id="62" max="69" man="1"/>
  </rowBreaks>
  <colBreaks count="1" manualBreakCount="1">
    <brk id="68" max="1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C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8515625" style="0" bestFit="1" customWidth="1"/>
    <col min="3" max="3" width="1.8515625" style="0" bestFit="1" customWidth="1"/>
    <col min="4" max="4" width="24.7109375" style="0" bestFit="1" customWidth="1"/>
    <col min="5" max="6" width="12.7109375" style="0" bestFit="1" customWidth="1"/>
    <col min="7" max="8" width="3.28125" style="0" bestFit="1" customWidth="1"/>
    <col min="9" max="9" width="6.28125" style="0" bestFit="1" customWidth="1"/>
    <col min="10" max="10" width="3.7109375" style="0" bestFit="1" customWidth="1"/>
    <col min="12" max="12" width="5.7109375" style="0" bestFit="1" customWidth="1"/>
    <col min="13" max="15" width="2.8515625" style="0" bestFit="1" customWidth="1"/>
    <col min="17" max="17" width="12.7109375" style="0" bestFit="1" customWidth="1"/>
    <col min="18" max="21" width="3.00390625" style="0" bestFit="1" customWidth="1"/>
    <col min="23" max="23" width="12.7109375" style="0" bestFit="1" customWidth="1"/>
    <col min="24" max="27" width="3.00390625" style="0" bestFit="1" customWidth="1"/>
    <col min="29" max="29" width="17.140625" style="0" bestFit="1" customWidth="1"/>
    <col min="30" max="30" width="1.8515625" style="0" bestFit="1" customWidth="1"/>
    <col min="31" max="31" width="1.7109375" style="0" bestFit="1" customWidth="1"/>
    <col min="33" max="34" width="1.8515625" style="0" bestFit="1" customWidth="1"/>
    <col min="35" max="35" width="3.28125" style="0" bestFit="1" customWidth="1"/>
    <col min="37" max="37" width="1.8515625" style="0" bestFit="1" customWidth="1"/>
    <col min="38" max="40" width="3.00390625" style="0" bestFit="1" customWidth="1"/>
    <col min="41" max="41" width="7.28125" style="0" bestFit="1" customWidth="1"/>
    <col min="43" max="43" width="1.8515625" style="0" bestFit="1" customWidth="1"/>
    <col min="44" max="46" width="3.00390625" style="0" bestFit="1" customWidth="1"/>
    <col min="48" max="48" width="4.140625" style="0" bestFit="1" customWidth="1"/>
    <col min="49" max="51" width="3.00390625" style="0" bestFit="1" customWidth="1"/>
  </cols>
  <sheetData>
    <row r="2" spans="37:50" s="36" customFormat="1" ht="12.75">
      <c r="AK2" s="42"/>
      <c r="AL2" s="37"/>
      <c r="AM2" s="38"/>
      <c r="AN2" s="38"/>
      <c r="AO2" s="43"/>
      <c r="AP2" s="39"/>
      <c r="AQ2" s="39"/>
      <c r="AR2" s="39"/>
      <c r="AS2" s="40"/>
      <c r="AT2" s="39"/>
      <c r="AU2" s="39"/>
      <c r="AV2" s="39"/>
      <c r="AW2" s="39"/>
      <c r="AX2" s="39"/>
    </row>
    <row r="3" spans="3:86" s="36" customFormat="1" ht="12.75">
      <c r="C3" s="151">
        <v>1</v>
      </c>
      <c r="D3" s="151">
        <v>2</v>
      </c>
      <c r="E3" s="151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152">
        <v>10</v>
      </c>
      <c r="M3" s="43">
        <v>11</v>
      </c>
      <c r="N3" s="153">
        <v>12</v>
      </c>
      <c r="O3" s="43">
        <v>13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41"/>
      <c r="AW3" s="41"/>
      <c r="AX3" s="39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</row>
    <row r="4" spans="2:86" s="36" customFormat="1" ht="70.5">
      <c r="B4" s="43"/>
      <c r="C4" s="151"/>
      <c r="D4" s="151"/>
      <c r="E4" s="151"/>
      <c r="F4" s="151"/>
      <c r="G4" s="43" t="s">
        <v>54</v>
      </c>
      <c r="H4" s="43" t="s">
        <v>14</v>
      </c>
      <c r="I4" s="151" t="s">
        <v>55</v>
      </c>
      <c r="J4" s="151" t="s">
        <v>56</v>
      </c>
      <c r="K4" s="43"/>
      <c r="L4" s="151" t="s">
        <v>57</v>
      </c>
      <c r="M4" s="43" t="s">
        <v>76</v>
      </c>
      <c r="N4" s="153" t="s">
        <v>21</v>
      </c>
      <c r="O4" s="43" t="s">
        <v>22</v>
      </c>
      <c r="Q4" s="162" t="s">
        <v>23</v>
      </c>
      <c r="R4" s="163" t="str">
        <f>Q5</f>
        <v>SVM Senioren I</v>
      </c>
      <c r="S4" s="163" t="str">
        <f>Q6</f>
        <v>SVM Senioren III</v>
      </c>
      <c r="T4" s="163" t="str">
        <f>Q7</f>
        <v>Esch</v>
      </c>
      <c r="U4" s="163" t="str">
        <f>Q8</f>
        <v>B-Jugend</v>
      </c>
      <c r="V4" s="164"/>
      <c r="W4" s="162" t="s">
        <v>55</v>
      </c>
      <c r="X4" s="163" t="str">
        <f>W5</f>
        <v>SVM Senioren I</v>
      </c>
      <c r="Y4" s="163" t="str">
        <f>W6</f>
        <v>SVM Senioren III</v>
      </c>
      <c r="Z4" s="163" t="str">
        <f>W7</f>
        <v>Esch</v>
      </c>
      <c r="AA4" s="163" t="str">
        <f>W8</f>
        <v>B-Jugend</v>
      </c>
      <c r="AB4" s="164"/>
      <c r="AC4" s="164"/>
      <c r="AD4" s="164"/>
      <c r="AE4" s="164"/>
      <c r="AF4" s="164"/>
      <c r="AG4" s="165"/>
      <c r="AH4" s="166"/>
      <c r="AI4" s="166"/>
      <c r="AJ4" s="167"/>
      <c r="AK4" s="168" t="e">
        <f>MATCH(1,AD5:AD8,0)</f>
        <v>#N/A</v>
      </c>
      <c r="AL4" s="169"/>
      <c r="AM4" s="170"/>
      <c r="AN4" s="170"/>
      <c r="AO4" s="170"/>
      <c r="AP4" s="167"/>
      <c r="AQ4" s="171" t="e">
        <f ca="1">MATCH(1,OFFSET($AD$5:$AD$8,AK4,0),0)+AK4</f>
        <v>#N/A</v>
      </c>
      <c r="AR4" s="170"/>
      <c r="AS4" s="170"/>
      <c r="AT4" s="170"/>
      <c r="AU4" s="170"/>
      <c r="AV4" s="171" t="e">
        <f ca="1">MATCH(1,OFFSET($AD$5:$AD$8,AQ4,0),0)+AQ4</f>
        <v>#N/A</v>
      </c>
      <c r="AW4" s="170"/>
      <c r="AX4" s="170"/>
      <c r="AY4" s="170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</row>
    <row r="5" spans="2:86" s="36" customFormat="1" ht="12.75">
      <c r="B5" s="43">
        <v>1</v>
      </c>
      <c r="C5" s="151">
        <f>RANK(D5,$D$5:$D$8,1)</f>
        <v>1</v>
      </c>
      <c r="D5" s="151">
        <f>E5+ROW()/1000</f>
        <v>1.005</v>
      </c>
      <c r="E5" s="151">
        <f>RANK(K5,$K$5:$K$8)</f>
        <v>1</v>
      </c>
      <c r="F5" s="43" t="str">
        <f>VLOOKUP(B5,Ergebniseingabe!$C$19:$X$22,2,0)</f>
        <v>SVM Senioren I</v>
      </c>
      <c r="G5" s="39">
        <f>SUMPRODUCT((F5=Ergebniseingabe!$L$27:$AF$38)*(Ergebniseingabe!$BC$27:$BC$38))+SUMPRODUCT((F5=Ergebniseingabe!$AH$27:$BB$38)*(Ergebniseingabe!$BF$27:$BF$38))</f>
        <v>0</v>
      </c>
      <c r="H5" s="39">
        <f>SUMPRODUCT((F5=Ergebniseingabe!$L$27:$AF$38)*(Ergebniseingabe!$BF$27:$BF$38))+SUMPRODUCT((F5=Ergebniseingabe!$AH$27:$BB$38)*(Ergebniseingabe!$BC$27:$BC$38))</f>
        <v>0</v>
      </c>
      <c r="I5" s="39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0</v>
      </c>
      <c r="J5" s="40">
        <f>G5-H5</f>
        <v>0</v>
      </c>
      <c r="K5" s="190">
        <f>AC5+AI5+AO5</f>
        <v>0</v>
      </c>
      <c r="L5" s="39">
        <f>SUMPRODUCT((Ergebniseingabe!$L$27:$AF$38=F5)*(Ergebniseingabe!$BC$27:$BC$38&lt;&gt;""))+SUMPRODUCT((Ergebniseingabe!$AH$27:$BB$38=F5)*(Ergebniseingabe!$BF$27:$BF$38&lt;&gt;""))</f>
        <v>0</v>
      </c>
      <c r="M5" s="39">
        <f>SUMPRODUCT((Ergebniseingabe!$L$27:$AF$38=F5)*(Ergebniseingabe!$BC$27:$BC$38&gt;Ergebniseingabe!$BF$27:$BF$38))+SUMPRODUCT((Ergebniseingabe!$AH$27:$BB$38=F5)*(Ergebniseingabe!$BC$27:$BC$38&lt;Ergebniseingabe!$BF$27:$BF$38))</f>
        <v>0</v>
      </c>
      <c r="N5" s="39">
        <f>SUMPRODUCT((Ergebniseingabe!$L$27:$BB$38=F5)*(Ergebniseingabe!$BC$27:$BC$38=Ergebniseingabe!$BF$27:$BF$38)*(Ergebniseingabe!$BC$27:$BC$38&lt;&gt;"")*(Ergebniseingabe!$BF$27:$BF$38&lt;&gt;""))</f>
        <v>0</v>
      </c>
      <c r="O5" s="39">
        <f>SUMPRODUCT((Ergebniseingabe!$L$27:$AF$38=F5)*(Ergebniseingabe!$BC$27:$BC$38&lt;Ergebniseingabe!$BF$27:$BF$38))+SUMPRODUCT((Ergebniseingabe!$AH$27:$BB$38=F5)*(Ergebniseingabe!$BC$27:$BC$38&gt;Ergebniseingabe!$BF$27:$BF$38))</f>
        <v>0</v>
      </c>
      <c r="Q5" s="172" t="str">
        <f>$F$5</f>
        <v>SVM Senioren I</v>
      </c>
      <c r="R5" s="173"/>
      <c r="S5" s="174">
        <f>IF(AND(Q5&amp;$S$4=VLOOKUP(Q5&amp;$S$4,$D$23:$I$46,1,0),VLOOKUP(Q5&amp;$S$4,$D$23:$I$46,6,0)&lt;&gt;""),VLOOKUP(Q5&amp;$S$4,$D$23:$I$46,6,0),)</f>
        <v>0</v>
      </c>
      <c r="T5" s="174">
        <f>IF(AND(Q5&amp;$T$4=VLOOKUP(Q5&amp;$T$4,$D$23:$I$46,1,0),VLOOKUP(Q5&amp;$T$4,$D$23:$I$46,6,0)&lt;&gt;""),VLOOKUP(Q5&amp;$T$4,$D$23:$I$46,6,0),)</f>
        <v>0</v>
      </c>
      <c r="U5" s="174">
        <f>IF(AND(Q5&amp;$U$4=VLOOKUP(Q5&amp;$U$4,$D$23:$I$46,1,0),VLOOKUP(Q5&amp;$U$4,$D$23:$I$46,6,0)&lt;&gt;""),VLOOKUP(Q5&amp;$U$4,$D$23:$I$46,6,0),)</f>
        <v>0</v>
      </c>
      <c r="V5" s="164"/>
      <c r="W5" s="172" t="str">
        <f>Q5</f>
        <v>SVM Senioren I</v>
      </c>
      <c r="X5" s="173"/>
      <c r="Y5" s="174">
        <f>IF(AND(ISNUMBER(S5),ISNUMBER(R6)),IF(S5&gt;R6,3,IF(S5=R6,1,0)),0)</f>
        <v>1</v>
      </c>
      <c r="Z5" s="174">
        <f>IF(AND(ISNUMBER(T5),ISNUMBER(R7)),IF(T5&gt;R7,3,IF(T5=R7,1,0)),0)</f>
        <v>1</v>
      </c>
      <c r="AA5" s="174">
        <f>IF(AND(ISNUMBER(U5),ISNUMBER(R8)),IF(U5&gt;R8,3,IF(U5=R8,1,0)),0)</f>
        <v>1</v>
      </c>
      <c r="AB5" s="164"/>
      <c r="AC5" s="175">
        <f>I5*100000+J5*1000+G5</f>
        <v>0</v>
      </c>
      <c r="AD5" s="175">
        <f>COUNTIF(AC5:AC8,AC5)</f>
        <v>4</v>
      </c>
      <c r="AE5" s="175">
        <f>IF(AD5=1,"x","")</f>
      </c>
      <c r="AF5" s="164"/>
      <c r="AG5" s="176">
        <f>IF(AE5="x",1,IF(AC6=AC5,2,IF(AC7=AC5,3,4)))</f>
        <v>2</v>
      </c>
      <c r="AH5" s="168">
        <f>INDEX(X5:AA5,1,AG5)</f>
        <v>1</v>
      </c>
      <c r="AI5" s="177">
        <f>IF(OR($AD$9=2,$AD$9=4),AH5/10,0)</f>
        <v>0</v>
      </c>
      <c r="AJ5" s="167"/>
      <c r="AK5" s="178"/>
      <c r="AL5" s="168" t="e">
        <f>I5-INDEX(X5:AA5,1,$AK$4)-AR5-AW5</f>
        <v>#N/A</v>
      </c>
      <c r="AM5" s="168" t="e">
        <f>J5-INDEX(R5:U5,1,AK4)-INDEX(R5:R8,AK4,1)-ABS(AS5)-ABS(AX5)</f>
        <v>#N/A</v>
      </c>
      <c r="AN5" s="168" t="e">
        <f>G5-INDEX(R5:U5,1,$AK$4)-AT5-AY5</f>
        <v>#N/A</v>
      </c>
      <c r="AO5" s="179">
        <f>IF(OR($AD$9&lt;&gt;3,AE5="x"),0,AL5/10+AM5/1000+AN5/100000)</f>
        <v>0</v>
      </c>
      <c r="AP5" s="167"/>
      <c r="AQ5" s="180"/>
      <c r="AR5" s="168">
        <f>IF(ISNA($AQ$4),0,INDEX(X5:AA5,1,$AQ$4))</f>
        <v>0</v>
      </c>
      <c r="AS5" s="168">
        <f>IF(ISNA($AQ$4),0,(INDEX(R5:U5,1,AQ4)-INDEX(R5:R8,AQ4,1)))</f>
        <v>0</v>
      </c>
      <c r="AT5" s="168">
        <f>IF(ISNA($AQ$4),0,INDEX(R5:U5,1,$AQ$4))</f>
        <v>0</v>
      </c>
      <c r="AU5" s="166"/>
      <c r="AV5" s="180"/>
      <c r="AW5" s="168">
        <f>IF(ISNA($AV$4),0,INDEX(X5:AA5,1,$AV$4))</f>
        <v>0</v>
      </c>
      <c r="AX5" s="168">
        <f>IF(ISNA($AV$4),0,(INDEX(R5:U5,1,AV4)-INDEX(R5:R8,AV4,1)))</f>
        <v>0</v>
      </c>
      <c r="AY5" s="168">
        <f>IF(ISNA($AV$4),0,INDEX(R5:U5,1,$AV$4))</f>
        <v>0</v>
      </c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</row>
    <row r="6" spans="2:86" s="36" customFormat="1" ht="12.75">
      <c r="B6" s="43">
        <v>2</v>
      </c>
      <c r="C6" s="151">
        <f>RANK(D6,$D$5:$D$8,1)</f>
        <v>2</v>
      </c>
      <c r="D6" s="151">
        <f>E6+ROW()/1000</f>
        <v>1.006</v>
      </c>
      <c r="E6" s="151">
        <f>RANK(K6,$K$5:$K$8)</f>
        <v>1</v>
      </c>
      <c r="F6" s="43" t="str">
        <f>VLOOKUP(B6,Ergebniseingabe!$C$19:$X$22,2,0)</f>
        <v>SVM Senioren III</v>
      </c>
      <c r="G6" s="39">
        <f>SUMPRODUCT((F6=Ergebniseingabe!$L$27:$AF$38)*(Ergebniseingabe!$BC$27:$BC$38))+SUMPRODUCT((F6=Ergebniseingabe!$AH$27:$BB$38)*(Ergebniseingabe!$BF$27:$BF$38))</f>
        <v>0</v>
      </c>
      <c r="H6" s="39">
        <f>SUMPRODUCT((F6=Ergebniseingabe!$L$27:$AF$38)*(Ergebniseingabe!$BF$27:$BF$38))+SUMPRODUCT((F6=Ergebniseingabe!$AH$27:$BB$38)*(Ergebniseingabe!$BC$27:$BC$38))</f>
        <v>0</v>
      </c>
      <c r="I6" s="39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0</v>
      </c>
      <c r="J6" s="40">
        <f>G6-H6</f>
        <v>0</v>
      </c>
      <c r="K6" s="190">
        <f>AC6+AI6+AO6</f>
        <v>0</v>
      </c>
      <c r="L6" s="39">
        <f>SUMPRODUCT((Ergebniseingabe!$L$27:$AF$38=F6)*(Ergebniseingabe!$BC$27:$BC$38&lt;&gt;""))+SUMPRODUCT((Ergebniseingabe!$AH$27:$BB$38=F6)*(Ergebniseingabe!$BF$27:$BF$38&lt;&gt;""))</f>
        <v>0</v>
      </c>
      <c r="M6" s="39">
        <f>SUMPRODUCT((Ergebniseingabe!$L$27:$AF$38=F6)*(Ergebniseingabe!$BC$27:$BC$38&gt;Ergebniseingabe!$BF$27:$BF$38))+SUMPRODUCT((Ergebniseingabe!$AH$27:$BB$38=F6)*(Ergebniseingabe!$BC$27:$BC$38&lt;Ergebniseingabe!$BF$27:$BF$38))</f>
        <v>0</v>
      </c>
      <c r="N6" s="39">
        <f>SUMPRODUCT((Ergebniseingabe!$L$27:$BB$38=F6)*(Ergebniseingabe!$BC$27:$BC$38=Ergebniseingabe!$BF$27:$BF$38)*(Ergebniseingabe!$BC$27:$BC$38&lt;&gt;"")*(Ergebniseingabe!$BF$27:$BF$38&lt;&gt;""))</f>
        <v>0</v>
      </c>
      <c r="O6" s="39">
        <f>SUMPRODUCT((Ergebniseingabe!$L$27:$AF$38=F6)*(Ergebniseingabe!$BC$27:$BC$38&lt;Ergebniseingabe!$BF$27:$BF$38))+SUMPRODUCT((Ergebniseingabe!$AH$27:$BB$38=F6)*(Ergebniseingabe!$BC$27:$BC$38&gt;Ergebniseingabe!$BF$27:$BF$38))</f>
        <v>0</v>
      </c>
      <c r="Q6" s="172" t="str">
        <f>$F$6</f>
        <v>SVM Senioren III</v>
      </c>
      <c r="R6" s="174">
        <f>IF(AND(Q6&amp;$R$4=VLOOKUP(Q6&amp;$R$4,$D$23:$I$46,1,0),VLOOKUP(Q6&amp;$R$4,$D$23:$I$46,6,0)&lt;&gt;""),VLOOKUP(Q6&amp;$R$4,$D$23:$I$46,6,0),)</f>
        <v>0</v>
      </c>
      <c r="S6" s="173"/>
      <c r="T6" s="174">
        <f>IF(AND(Q6&amp;$T$4=VLOOKUP(Q6&amp;$T$4,$D$23:$I$46,1,0),VLOOKUP(Q6&amp;$T$4,$D$23:$I$46,6,0)&lt;&gt;""),VLOOKUP(Q6&amp;$T$4,$D$23:$I$46,6,0),)</f>
        <v>0</v>
      </c>
      <c r="U6" s="174">
        <f>IF(AND(Q6&amp;$U$4=VLOOKUP(Q6&amp;$U$4,$D$23:$I$46,1,0),VLOOKUP(Q6&amp;$U$4,$D$23:$I$46,6,0)&lt;&gt;""),VLOOKUP(Q6&amp;$U$4,$D$23:$I$46,6,0),)</f>
        <v>0</v>
      </c>
      <c r="V6" s="164"/>
      <c r="W6" s="181" t="str">
        <f>Q6</f>
        <v>SVM Senioren III</v>
      </c>
      <c r="X6" s="174">
        <f>IF(AND(ISNUMBER(R6),ISNUMBER(S5)),IF(R6&gt;S5,3,IF(R6=S5,1,0)),0)</f>
        <v>1</v>
      </c>
      <c r="Y6" s="173"/>
      <c r="Z6" s="174">
        <f>IF(AND(ISNUMBER(T6),ISNUMBER(S7)),IF(T6&gt;S7,3,IF(T6=S7,1,0)),0)</f>
        <v>1</v>
      </c>
      <c r="AA6" s="174">
        <f>IF(AND(ISNUMBER(U6),ISNUMBER(S8)),IF(U6&gt;S8,3,IF(U6=S8,1,0)),0)</f>
        <v>1</v>
      </c>
      <c r="AB6" s="164"/>
      <c r="AC6" s="175">
        <f>I6*100000+J6*1000+G6</f>
        <v>0</v>
      </c>
      <c r="AD6" s="182">
        <f>COUNTIF(AC5:AC8,AC6)</f>
        <v>4</v>
      </c>
      <c r="AE6" s="182">
        <f>IF(AD6=1,"x","")</f>
      </c>
      <c r="AF6" s="164"/>
      <c r="AG6" s="176">
        <f>IF(AE6="x",2,IF(AC7=AC6,3,IF(AC8=AC6,4,1)))</f>
        <v>3</v>
      </c>
      <c r="AH6" s="168">
        <f>INDEX(X6:AA6,1,AG6)</f>
        <v>1</v>
      </c>
      <c r="AI6" s="177">
        <f>IF(OR($AD$9=2,$AD$9=4),AH6/10,0)</f>
        <v>0</v>
      </c>
      <c r="AJ6" s="167"/>
      <c r="AK6" s="178"/>
      <c r="AL6" s="168" t="e">
        <f>I6-INDEX(X6:AA6,1,$AK$4)-AR6-AW6</f>
        <v>#N/A</v>
      </c>
      <c r="AM6" s="168" t="e">
        <f>J6-INDEX(R6:U6,1,AK4)-INDEX(S5:S8,AK4,1)-ABS(AS6)-ABS(AX6)</f>
        <v>#N/A</v>
      </c>
      <c r="AN6" s="168" t="e">
        <f>G6-INDEX(R6:U6,1,$AK$4)-AT6-AY6</f>
        <v>#N/A</v>
      </c>
      <c r="AO6" s="179">
        <f>IF(OR($AD$9&lt;&gt;3,AE6="x"),0,AL6/10+AM6/1000+AN6/100000)</f>
        <v>0</v>
      </c>
      <c r="AP6" s="167"/>
      <c r="AQ6" s="180"/>
      <c r="AR6" s="168">
        <f>IF(ISNA($AQ$4),0,INDEX(X6:AA6,1,$AQ$4))</f>
        <v>0</v>
      </c>
      <c r="AS6" s="168">
        <f>IF(ISNA($AQ$4),0,(INDEX(R6:U6,1,AQ4)-INDEX(S5:S8,AQ4,1)))</f>
        <v>0</v>
      </c>
      <c r="AT6" s="168">
        <f>IF(ISNA($AQ$4),0,INDEX(R6:U6,1,$AQ$4))</f>
        <v>0</v>
      </c>
      <c r="AU6" s="166"/>
      <c r="AV6" s="180"/>
      <c r="AW6" s="168">
        <f>IF(ISNA($AV$4),0,INDEX(X6:AA6,1,$AV$4))</f>
        <v>0</v>
      </c>
      <c r="AX6" s="168">
        <f>IF(ISNA($AV$4),0,(INDEX(R6:U6,1,AV4)-INDEX(S5:S8,AV4,1)))</f>
        <v>0</v>
      </c>
      <c r="AY6" s="168">
        <f>IF(ISNA($AV$4),0,INDEX(R6:U6,1,$AV$4))</f>
        <v>0</v>
      </c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</row>
    <row r="7" spans="2:86" s="36" customFormat="1" ht="12.75">
      <c r="B7" s="43">
        <v>3</v>
      </c>
      <c r="C7" s="151">
        <f>RANK(D7,$D$5:$D$8,1)</f>
        <v>3</v>
      </c>
      <c r="D7" s="151">
        <f>E7+ROW()/1000</f>
        <v>1.007</v>
      </c>
      <c r="E7" s="151">
        <f>RANK(K7,$K$5:$K$8)</f>
        <v>1</v>
      </c>
      <c r="F7" s="43" t="str">
        <f>VLOOKUP(B7,Ergebniseingabe!$C$19:$X$22,2,0)</f>
        <v>Esch</v>
      </c>
      <c r="G7" s="39">
        <f>SUMPRODUCT((F7=Ergebniseingabe!$L$27:$AF$38)*(Ergebniseingabe!$BC$27:$BC$38))+SUMPRODUCT((F7=Ergebniseingabe!$AH$27:$BB$38)*(Ergebniseingabe!$BF$27:$BF$38))</f>
        <v>0</v>
      </c>
      <c r="H7" s="39">
        <f>SUMPRODUCT((F7=Ergebniseingabe!$L$27:$AF$38)*(Ergebniseingabe!$BF$27:$BF$38))+SUMPRODUCT((F7=Ergebniseingabe!$AH$27:$BB$38)*(Ergebniseingabe!$BC$27:$BC$38))</f>
        <v>0</v>
      </c>
      <c r="I7" s="39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0</v>
      </c>
      <c r="J7" s="40">
        <f>G7-H7</f>
        <v>0</v>
      </c>
      <c r="K7" s="190">
        <f>AC7+AI7+AO7</f>
        <v>0</v>
      </c>
      <c r="L7" s="39">
        <f>SUMPRODUCT((Ergebniseingabe!$L$27:$AF$38=F7)*(Ergebniseingabe!$BC$27:$BC$38&lt;&gt;""))+SUMPRODUCT((Ergebniseingabe!$AH$27:$BB$38=F7)*(Ergebniseingabe!$BF$27:$BF$38&lt;&gt;""))</f>
        <v>0</v>
      </c>
      <c r="M7" s="39">
        <f>SUMPRODUCT((Ergebniseingabe!$L$27:$AF$38=F7)*(Ergebniseingabe!$BC$27:$BC$38&gt;Ergebniseingabe!$BF$27:$BF$38))+SUMPRODUCT((Ergebniseingabe!$AH$27:$BB$38=F7)*(Ergebniseingabe!$BC$27:$BC$38&lt;Ergebniseingabe!$BF$27:$BF$38))</f>
        <v>0</v>
      </c>
      <c r="N7" s="39">
        <f>SUMPRODUCT((Ergebniseingabe!$L$27:$BB$38=F7)*(Ergebniseingabe!$BC$27:$BC$38=Ergebniseingabe!$BF$27:$BF$38)*(Ergebniseingabe!$BC$27:$BC$38&lt;&gt;"")*(Ergebniseingabe!$BF$27:$BF$38&lt;&gt;""))</f>
        <v>0</v>
      </c>
      <c r="O7" s="39">
        <f>SUMPRODUCT((Ergebniseingabe!$L$27:$AF$38=F7)*(Ergebniseingabe!$BC$27:$BC$38&lt;Ergebniseingabe!$BF$27:$BF$38))+SUMPRODUCT((Ergebniseingabe!$AH$27:$BB$38=F7)*(Ergebniseingabe!$BC$27:$BC$38&gt;Ergebniseingabe!$BF$27:$BF$38))</f>
        <v>0</v>
      </c>
      <c r="Q7" s="172" t="str">
        <f>$F$7</f>
        <v>Esch</v>
      </c>
      <c r="R7" s="174">
        <f>IF(AND(Q7&amp;$R$4=VLOOKUP(Q7&amp;$R$4,$D$23:$I$46,1,0),VLOOKUP(Q7&amp;$R$4,$D$23:$I$46,6,0)&lt;&gt;""),VLOOKUP(Q7&amp;$R$4,$D$23:$I$46,6,0),)</f>
        <v>0</v>
      </c>
      <c r="S7" s="174">
        <f>IF(AND(Q7&amp;$S$4=VLOOKUP(Q7&amp;$S$4,$D$23:$I$46,1,0),VLOOKUP(Q7&amp;$S$4,$D$23:$I$46,6,0)&lt;&gt;""),VLOOKUP(Q7&amp;$S$4,$D$23:$I$46,6,0),)</f>
        <v>0</v>
      </c>
      <c r="T7" s="173"/>
      <c r="U7" s="174">
        <f>IF(AND(Q7&amp;$U$4=VLOOKUP(Q7&amp;$U$4,$D$23:$I$46,1,0),VLOOKUP(Q7&amp;$U$4,$D$23:$I$46,6,0)&lt;&gt;""),VLOOKUP(Q7&amp;$U$4,$D$23:$I$46,6,0),)</f>
        <v>0</v>
      </c>
      <c r="V7" s="164"/>
      <c r="W7" s="181" t="str">
        <f>Q7</f>
        <v>Esch</v>
      </c>
      <c r="X7" s="174">
        <f>IF(AND(ISNUMBER(R7),ISNUMBER(T5)),IF(R7&gt;T5,3,IF(R7=T5,1,0)),0)</f>
        <v>1</v>
      </c>
      <c r="Y7" s="174">
        <f>IF(AND(ISNUMBER(S7),ISNUMBER(T6)),IF(S7&gt;T6,3,IF(S7=T6,1,0)),0)</f>
        <v>1</v>
      </c>
      <c r="Z7" s="173"/>
      <c r="AA7" s="174">
        <f>IF(AND(ISNUMBER(U7),ISNUMBER(T8)),IF(U7&gt;T8,3,IF(U7=T8,1,0)),0)</f>
        <v>1</v>
      </c>
      <c r="AB7" s="164"/>
      <c r="AC7" s="175">
        <f>I7*100000+J7*1000+G7</f>
        <v>0</v>
      </c>
      <c r="AD7" s="183">
        <f>COUNTIF(AC5:AC8,AC7)</f>
        <v>4</v>
      </c>
      <c r="AE7" s="182">
        <f>IF(AD7=1,"x","")</f>
      </c>
      <c r="AF7" s="164"/>
      <c r="AG7" s="176">
        <f>IF(AE7="x",3,IF(AC8=AC7,4,IF(AC6=AC7,2,1)))</f>
        <v>4</v>
      </c>
      <c r="AH7" s="168">
        <f>INDEX(X7:AA7,1,AG7)</f>
        <v>1</v>
      </c>
      <c r="AI7" s="177">
        <f>IF(OR($AD$9=2,$AD$9=4),AH7/10,0)</f>
        <v>0</v>
      </c>
      <c r="AJ7" s="167"/>
      <c r="AK7" s="178"/>
      <c r="AL7" s="168" t="e">
        <f>I7-INDEX(X7:AA7,1,$AK$4)-AR7-AW7</f>
        <v>#N/A</v>
      </c>
      <c r="AM7" s="168" t="e">
        <f>J7-INDEX(R7:U7,1,AK4)-INDEX(T5:T8,AK4,1)-ABS(AS7)-ABS(AX7)</f>
        <v>#N/A</v>
      </c>
      <c r="AN7" s="168" t="e">
        <f>G7-INDEX(R7:U7,1,$AK$4)-AT7-AY7</f>
        <v>#N/A</v>
      </c>
      <c r="AO7" s="179">
        <f>IF(OR($AD$9&lt;&gt;3,AE7="x"),0,AL7/10+AM7/1000+AN7/100000)</f>
        <v>0</v>
      </c>
      <c r="AP7" s="167"/>
      <c r="AQ7" s="180"/>
      <c r="AR7" s="168">
        <f>IF(ISNA($AQ$4),0,INDEX(X7:AA7,1,$AQ$4))</f>
        <v>0</v>
      </c>
      <c r="AS7" s="168">
        <f>IF(ISNA($AQ$4),0,(INDEX(R7:U7,1,AQ4)-INDEX(T5:T8,AQ4,1)))</f>
        <v>0</v>
      </c>
      <c r="AT7" s="168">
        <f>IF(ISNA($AQ$4),0,INDEX(R7:U7,1,$AQ$4))</f>
        <v>0</v>
      </c>
      <c r="AU7" s="166"/>
      <c r="AV7" s="180"/>
      <c r="AW7" s="168">
        <f>IF(ISNA($AV$4),0,INDEX(X7:AA7,1,$AV$4))</f>
        <v>0</v>
      </c>
      <c r="AX7" s="168">
        <f>IF(ISNA($AV$4),0,(INDEX(R7:U7,1,AV4)-INDEX(T5:T8,AV4,1)))</f>
        <v>0</v>
      </c>
      <c r="AY7" s="168">
        <f>IF(ISNA($AV$4),0,INDEX(R7:U7,1,$AV$4))</f>
        <v>0</v>
      </c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</row>
    <row r="8" spans="2:86" s="36" customFormat="1" ht="12.75">
      <c r="B8" s="43">
        <v>4</v>
      </c>
      <c r="C8" s="151">
        <f>RANK(D8,$D$5:$D$8,1)</f>
        <v>4</v>
      </c>
      <c r="D8" s="151">
        <f>E8+ROW()/1000</f>
        <v>1.008</v>
      </c>
      <c r="E8" s="151">
        <f>RANK(K8,$K$5:$K$8)</f>
        <v>1</v>
      </c>
      <c r="F8" s="43" t="str">
        <f>VLOOKUP(B8,Ergebniseingabe!$C$19:$X$22,2,0)</f>
        <v>B-Jugend</v>
      </c>
      <c r="G8" s="39">
        <f>SUMPRODUCT((F8=Ergebniseingabe!$L$27:$AF$38)*(Ergebniseingabe!$BC$27:$BC$38))+SUMPRODUCT((F8=Ergebniseingabe!$AH$27:$BB$38)*(Ergebniseingabe!$BF$27:$BF$38))</f>
        <v>0</v>
      </c>
      <c r="H8" s="39">
        <f>SUMPRODUCT((F8=Ergebniseingabe!$L$27:$AF$38)*(Ergebniseingabe!$BF$27:$BF$38))+SUMPRODUCT((F8=Ergebniseingabe!$AH$27:$BB$38)*(Ergebniseingabe!$BC$27:$BC$38))</f>
        <v>0</v>
      </c>
      <c r="I8" s="39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0</v>
      </c>
      <c r="J8" s="40">
        <f>G8-H8</f>
        <v>0</v>
      </c>
      <c r="K8" s="190">
        <f>AC8+AI8+AO8</f>
        <v>0</v>
      </c>
      <c r="L8" s="39">
        <f>SUMPRODUCT((Ergebniseingabe!$L$27:$AF$38=F8)*(Ergebniseingabe!$BC$27:$BC$38&lt;&gt;""))+SUMPRODUCT((Ergebniseingabe!$AH$27:$BB$38=F8)*(Ergebniseingabe!$BF$27:$BF$38&lt;&gt;""))</f>
        <v>0</v>
      </c>
      <c r="M8" s="39">
        <f>SUMPRODUCT((Ergebniseingabe!$L$27:$AF$38=F8)*(Ergebniseingabe!$BC$27:$BC$38&gt;Ergebniseingabe!$BF$27:$BF$38))+SUMPRODUCT((Ergebniseingabe!$AH$27:$BB$38=F8)*(Ergebniseingabe!$BC$27:$BC$38&lt;Ergebniseingabe!$BF$27:$BF$38))</f>
        <v>0</v>
      </c>
      <c r="N8" s="39">
        <f>SUMPRODUCT((Ergebniseingabe!$L$27:$BB$38=F8)*(Ergebniseingabe!$BC$27:$BC$38=Ergebniseingabe!$BF$27:$BF$38)*(Ergebniseingabe!$BC$27:$BC$38&lt;&gt;"")*(Ergebniseingabe!$BF$27:$BF$38&lt;&gt;""))</f>
        <v>0</v>
      </c>
      <c r="O8" s="39">
        <f>SUMPRODUCT((Ergebniseingabe!$L$27:$AF$38=F8)*(Ergebniseingabe!$BC$27:$BC$38&lt;Ergebniseingabe!$BF$27:$BF$38))+SUMPRODUCT((Ergebniseingabe!$AH$27:$BB$38=F8)*(Ergebniseingabe!$BC$27:$BC$38&gt;Ergebniseingabe!$BF$27:$BF$38))</f>
        <v>0</v>
      </c>
      <c r="Q8" s="184" t="str">
        <f>$F$8</f>
        <v>B-Jugend</v>
      </c>
      <c r="R8" s="174">
        <f>IF(AND(Q8&amp;$R$4=VLOOKUP(Q8&amp;$R$4,$D$23:$I$46,1,0),VLOOKUP(Q8&amp;$R$4,$D$23:$I$46,6,0)&lt;&gt;""),VLOOKUP(Q8&amp;$R$4,$D$23:$I$46,6,0),)</f>
        <v>0</v>
      </c>
      <c r="S8" s="174">
        <f>IF(AND(Q8&amp;$S$4=VLOOKUP(Q8&amp;$S$4,$D$23:$I$46,1,0),VLOOKUP(Q8&amp;$S$4,$D$23:$I$46,6,0)&lt;&gt;""),VLOOKUP(Q8&amp;$S$4,$D$23:$I$46,6,0),)</f>
        <v>0</v>
      </c>
      <c r="T8" s="174">
        <f>IF(AND(Q8&amp;$T$4=VLOOKUP(Q8&amp;$T$4,$D$23:$I$46,1,0),VLOOKUP(Q8&amp;$T$4,$D$23:$I$46,6,0)&lt;&gt;""),VLOOKUP(Q8&amp;$T$4,$D$23:$I$46,6,0),)</f>
        <v>0</v>
      </c>
      <c r="U8" s="173"/>
      <c r="V8" s="164"/>
      <c r="W8" s="185" t="str">
        <f>Q8</f>
        <v>B-Jugend</v>
      </c>
      <c r="X8" s="174">
        <f>IF(AND(ISNUMBER(R8),ISNUMBER(U5)),IF(R8&gt;U5,3,IF(R8=U5,1,0)),0)</f>
        <v>1</v>
      </c>
      <c r="Y8" s="174">
        <f>IF(AND(ISNUMBER(S8),ISNUMBER(U6)),IF(S8&gt;U6,3,IF(S8=U6,1,0)),0)</f>
        <v>1</v>
      </c>
      <c r="Z8" s="174">
        <f>IF(AND(ISNUMBER(T8),ISNUMBER(U7)),IF(T8&gt;U7,3,IF(T8=U7,1,0)),0)</f>
        <v>1</v>
      </c>
      <c r="AA8" s="173"/>
      <c r="AB8" s="164"/>
      <c r="AC8" s="175">
        <f>I8*100000+J8*1000+G8</f>
        <v>0</v>
      </c>
      <c r="AD8" s="186">
        <f>COUNTIF(AC5:AC8,AC8)</f>
        <v>4</v>
      </c>
      <c r="AE8" s="186">
        <f>IF(AD8=1,"x","")</f>
      </c>
      <c r="AF8" s="164"/>
      <c r="AG8" s="176">
        <f>IF(AE8="x",4,IF(AC5=AC8,1,IF(AC6=AC8,2,3)))</f>
        <v>1</v>
      </c>
      <c r="AH8" s="168">
        <f>INDEX(X8:AA8,1,AG8)</f>
        <v>1</v>
      </c>
      <c r="AI8" s="177">
        <f>IF(OR($AD$9=2,$AD$9=4),AH8/10,0)</f>
        <v>0</v>
      </c>
      <c r="AJ8" s="167"/>
      <c r="AK8" s="166"/>
      <c r="AL8" s="168" t="e">
        <f>I8-INDEX(X8:AA8,1,$AK$4)-AR8-AW8</f>
        <v>#N/A</v>
      </c>
      <c r="AM8" s="168" t="e">
        <f>J8-INDEX(R8:U8,1,AK4)-INDEX(U5:U8,AK4,1)-ABS(AS8)-ABS(AX8)</f>
        <v>#N/A</v>
      </c>
      <c r="AN8" s="168" t="e">
        <f>G8-INDEX(R8:U8,1,$AK$4)-AT8-AY8</f>
        <v>#N/A</v>
      </c>
      <c r="AO8" s="179">
        <f>IF(OR($AD$9&lt;&gt;3,AE8="x"),0,AL8/10+AM8/1000+AN8/100000)</f>
        <v>0</v>
      </c>
      <c r="AP8" s="167"/>
      <c r="AQ8" s="180"/>
      <c r="AR8" s="168">
        <f>IF(ISNA($AQ$4),0,INDEX(X8:AA8,1,$AQ$4))</f>
        <v>0</v>
      </c>
      <c r="AS8" s="168">
        <f>IF(ISNA($AQ$4),0,(INDEX(R8:U8,1,AQ4)-INDEX(U5:U8,AQ4,1)))</f>
        <v>0</v>
      </c>
      <c r="AT8" s="168">
        <f>IF(ISNA($AQ$4),0,INDEX(R8:U8,1,$AQ$4))</f>
        <v>0</v>
      </c>
      <c r="AU8" s="166"/>
      <c r="AV8" s="180"/>
      <c r="AW8" s="168">
        <f>IF(ISNA($AV$4),0,INDEX(X8:AA8,1,$AV$4))</f>
        <v>0</v>
      </c>
      <c r="AX8" s="168">
        <f>IF(ISNA($AV$4),0,(INDEX(R8:U8,1,AV4)-INDEX(U5:U8,AV4,1)))</f>
        <v>0</v>
      </c>
      <c r="AY8" s="168">
        <f>IF(ISNA($AV$4),0,INDEX(R8:U8,1,$AV$4))</f>
        <v>0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</row>
    <row r="9" spans="2:86" s="36" customFormat="1" ht="35.25">
      <c r="B9" s="43">
        <f>COUNT((B5:B8))*(COUNT(B5:B8)-1)</f>
        <v>12</v>
      </c>
      <c r="C9" s="151"/>
      <c r="D9" s="151"/>
      <c r="E9" s="151">
        <f>COUNTIF($E$5:$E$8,1)</f>
        <v>4</v>
      </c>
      <c r="F9" s="43"/>
      <c r="G9" s="152"/>
      <c r="H9" s="152"/>
      <c r="I9" s="152"/>
      <c r="J9" s="152"/>
      <c r="K9" s="43"/>
      <c r="L9" s="152">
        <f>SUM(L5:L8)</f>
        <v>0</v>
      </c>
      <c r="M9" s="43"/>
      <c r="N9" s="153"/>
      <c r="O9" s="4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87" t="s">
        <v>77</v>
      </c>
      <c r="AD9" s="188">
        <f>MOD(MIN(AD5:AD8)*MAX(AD5:AD8),11)</f>
        <v>5</v>
      </c>
      <c r="AE9" s="170"/>
      <c r="AF9" s="164"/>
      <c r="AG9" s="178"/>
      <c r="AH9" s="166"/>
      <c r="AI9" s="166"/>
      <c r="AJ9" s="167"/>
      <c r="AK9" s="178"/>
      <c r="AL9" s="189" t="s">
        <v>55</v>
      </c>
      <c r="AM9" s="189" t="s">
        <v>56</v>
      </c>
      <c r="AN9" s="189" t="s">
        <v>78</v>
      </c>
      <c r="AO9" s="170"/>
      <c r="AP9" s="167"/>
      <c r="AQ9" s="170"/>
      <c r="AR9" s="189" t="s">
        <v>55</v>
      </c>
      <c r="AS9" s="189" t="s">
        <v>56</v>
      </c>
      <c r="AT9" s="189" t="s">
        <v>78</v>
      </c>
      <c r="AU9" s="170"/>
      <c r="AV9" s="170"/>
      <c r="AW9" s="189" t="s">
        <v>55</v>
      </c>
      <c r="AX9" s="189" t="s">
        <v>56</v>
      </c>
      <c r="AY9" s="189" t="s">
        <v>78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</row>
    <row r="10" spans="2:86" s="36" customFormat="1" ht="12.75">
      <c r="B10" s="151"/>
      <c r="C10" s="151"/>
      <c r="D10" s="151"/>
      <c r="E10" s="151">
        <f>COUNTIF($E$5:$E$8,2)</f>
        <v>0</v>
      </c>
      <c r="F10" s="151"/>
      <c r="G10" s="151"/>
      <c r="H10" s="151"/>
      <c r="I10" s="151"/>
      <c r="J10" s="151"/>
      <c r="K10" s="151"/>
      <c r="L10" s="151"/>
      <c r="M10" s="151"/>
      <c r="N10" s="153"/>
      <c r="O10" s="43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</row>
    <row r="11" spans="2:86" s="36" customFormat="1" ht="12.75">
      <c r="B11" s="151"/>
      <c r="C11" s="151"/>
      <c r="D11" s="151"/>
      <c r="E11" s="151">
        <f>COUNTIF($E$5:$E$8,3)</f>
        <v>0</v>
      </c>
      <c r="F11" s="151"/>
      <c r="G11" s="151"/>
      <c r="H11" s="151"/>
      <c r="I11" s="151"/>
      <c r="J11" s="151"/>
      <c r="K11" s="151"/>
      <c r="L11" s="151"/>
      <c r="M11" s="151"/>
      <c r="N11" s="153"/>
      <c r="O11" s="43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</row>
    <row r="12" spans="2:86" s="36" customFormat="1" ht="12.75">
      <c r="B12" s="151"/>
      <c r="C12" s="151"/>
      <c r="D12" s="151"/>
      <c r="E12" s="151">
        <f>COUNTIF($E$5:$E$8,4)</f>
        <v>0</v>
      </c>
      <c r="F12" s="151"/>
      <c r="G12" s="151"/>
      <c r="H12" s="151"/>
      <c r="I12" s="151"/>
      <c r="J12" s="151"/>
      <c r="K12" s="151"/>
      <c r="L12" s="151"/>
      <c r="M12" s="151"/>
      <c r="N12" s="153"/>
      <c r="O12" s="43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</row>
    <row r="13" spans="2:86" s="36" customFormat="1" ht="72" customHeight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3"/>
      <c r="O13" s="43"/>
      <c r="Q13" s="162" t="s">
        <v>23</v>
      </c>
      <c r="R13" s="163" t="str">
        <f>Q14</f>
        <v>SVM Senioren II</v>
      </c>
      <c r="S13" s="163" t="str">
        <f>Q15</f>
        <v>Eifelboyz</v>
      </c>
      <c r="T13" s="163" t="str">
        <f>Q16</f>
        <v>A-Jugend (m)</v>
      </c>
      <c r="U13" s="163" t="str">
        <f>Q17</f>
        <v>A-Jugend (w)</v>
      </c>
      <c r="V13" s="164"/>
      <c r="W13" s="162" t="s">
        <v>55</v>
      </c>
      <c r="X13" s="163" t="str">
        <f>W14</f>
        <v>SVM Senioren II</v>
      </c>
      <c r="Y13" s="163" t="str">
        <f>W15</f>
        <v>Eifelboyz</v>
      </c>
      <c r="Z13" s="163" t="str">
        <f>W16</f>
        <v>A-Jugend (m)</v>
      </c>
      <c r="AA13" s="163" t="str">
        <f>W17</f>
        <v>A-Jugend (w)</v>
      </c>
      <c r="AB13" s="164"/>
      <c r="AC13" s="164"/>
      <c r="AD13" s="164"/>
      <c r="AE13" s="164"/>
      <c r="AF13" s="164"/>
      <c r="AG13" s="165"/>
      <c r="AH13" s="166"/>
      <c r="AI13" s="166"/>
      <c r="AJ13" s="167"/>
      <c r="AK13" s="168" t="e">
        <f>MATCH(1,AD14:AD17,0)</f>
        <v>#N/A</v>
      </c>
      <c r="AL13" s="169"/>
      <c r="AM13" s="170"/>
      <c r="AN13" s="170"/>
      <c r="AO13" s="170"/>
      <c r="AP13" s="167"/>
      <c r="AQ13" s="171" t="e">
        <f ca="1">MATCH(1,OFFSET($AD$14:$AD$17,AK13,0),0)+AK13</f>
        <v>#N/A</v>
      </c>
      <c r="AR13" s="170"/>
      <c r="AS13" s="170"/>
      <c r="AT13" s="170"/>
      <c r="AU13" s="170"/>
      <c r="AV13" s="171" t="e">
        <f ca="1">MATCH(1,OFFSET($AD$14:$AD$17,AQ13,0),0)+AQ13</f>
        <v>#N/A</v>
      </c>
      <c r="AW13" s="170"/>
      <c r="AX13" s="170"/>
      <c r="AY13" s="170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</row>
    <row r="14" spans="2:86" s="36" customFormat="1" ht="12.75">
      <c r="B14" s="43">
        <v>1</v>
      </c>
      <c r="C14" s="151">
        <f>RANK(D14,$D$14:$D$17,1)</f>
        <v>1</v>
      </c>
      <c r="D14" s="151">
        <f>E14+ROW()/1000</f>
        <v>1.014</v>
      </c>
      <c r="E14" s="151">
        <f>RANK(K14,$K$14:$K$17)</f>
        <v>1</v>
      </c>
      <c r="F14" s="43" t="str">
        <f>VLOOKUP(B14,Ergebniseingabe!$AB$19:$AW$22,2,0)</f>
        <v>SVM Senioren II</v>
      </c>
      <c r="G14" s="39">
        <f>SUMPRODUCT((F14=Ergebniseingabe!$L$27:$AF$38)*(Ergebniseingabe!$BC$27:$BC$38))+SUMPRODUCT((F14=Ergebniseingabe!$AH$27:$BB$38)*(Ergebniseingabe!$BF$27:$BF$38))</f>
        <v>0</v>
      </c>
      <c r="H14" s="39">
        <f>SUMPRODUCT((F14=Ergebniseingabe!$L$27:$AF$38)*(Ergebniseingabe!$BF$27:$BF$38))+SUMPRODUCT((F14=Ergebniseingabe!$AH$27:$BB$38)*(Ergebniseingabe!$BC$27:$BC$38))</f>
        <v>0</v>
      </c>
      <c r="I14" s="39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0</v>
      </c>
      <c r="J14" s="40">
        <f>G14-H14</f>
        <v>0</v>
      </c>
      <c r="K14" s="190">
        <f>AC14+AI14+AO14</f>
        <v>0</v>
      </c>
      <c r="L14" s="39">
        <f>SUMPRODUCT((Ergebniseingabe!$L$27:$AF$38=F14)*(Ergebniseingabe!$BC$27:$BC$38&lt;&gt;""))+SUMPRODUCT((Ergebniseingabe!$AH$27:$BB$38=F14)*(Ergebniseingabe!$BF$27:$BF$38&lt;&gt;""))</f>
        <v>0</v>
      </c>
      <c r="M14" s="39">
        <f>SUMPRODUCT((Ergebniseingabe!$L$27:$AF$38=F14)*(Ergebniseingabe!$BC$27:$BC$38&gt;Ergebniseingabe!$BF$27:$BF$38))+SUMPRODUCT((Ergebniseingabe!$AH$27:$BB$38=F14)*(Ergebniseingabe!$BC$27:$BC$38&lt;Ergebniseingabe!$BF$27:$BF$38))</f>
        <v>0</v>
      </c>
      <c r="N14" s="39">
        <f>SUMPRODUCT((Ergebniseingabe!$L$27:$BB$38=F14)*(Ergebniseingabe!$BC$27:$BC$38=Ergebniseingabe!$BF$27:$BF$38)*(Ergebniseingabe!$BC$27:$BC$38&lt;&gt;"")*(Ergebniseingabe!$BF$27:$BF$38&lt;&gt;""))</f>
        <v>0</v>
      </c>
      <c r="O14" s="39">
        <f>SUMPRODUCT((Ergebniseingabe!$L$27:$AF$38=F14)*(Ergebniseingabe!$BC$27:$BC$38&lt;Ergebniseingabe!$BF$27:$BF$38))+SUMPRODUCT((Ergebniseingabe!$AH$27:$BB$38=F14)*(Ergebniseingabe!$BC$27:$BC$38&gt;Ergebniseingabe!$BF$27:$BF$38))</f>
        <v>0</v>
      </c>
      <c r="Q14" s="172" t="str">
        <f>F14</f>
        <v>SVM Senioren II</v>
      </c>
      <c r="R14" s="173"/>
      <c r="S14" s="174">
        <f>IF(AND(Q14&amp;$S$13=VLOOKUP(Q14&amp;$S$13,$D$23:$I$46,1,0),VLOOKUP(Q14&amp;$S$13,$D$23:$I$46,6,0)&lt;&gt;""),VLOOKUP(Q14&amp;$S$13,$D$23:$I$46,6,0),)</f>
        <v>0</v>
      </c>
      <c r="T14" s="174">
        <f>IF(AND(Q14&amp;$T$13=VLOOKUP(Q14&amp;$T$13,$D$23:$I$46,1,0),VLOOKUP(Q14&amp;$T$13,$D$23:$I$46,6,0)&lt;&gt;""),VLOOKUP(Q14&amp;$T$13,$D$23:$I$46,6,0),)</f>
        <v>0</v>
      </c>
      <c r="U14" s="174">
        <f>IF(AND(Q14&amp;$U$13=VLOOKUP(Q14&amp;$U$13,$D$23:$I$46,1,0),VLOOKUP(Q14&amp;$U$13,$D$23:$I$46,6,0)&lt;&gt;""),VLOOKUP(Q14&amp;$U$13,$D$23:$I$46,6,0),)</f>
        <v>0</v>
      </c>
      <c r="V14" s="164"/>
      <c r="W14" s="172" t="str">
        <f>Q14</f>
        <v>SVM Senioren II</v>
      </c>
      <c r="X14" s="173"/>
      <c r="Y14" s="174">
        <f>IF(AND(ISNUMBER(S14),ISNUMBER(R15)),IF(S14&gt;R15,3,IF(S14=R15,1,0)),0)</f>
        <v>1</v>
      </c>
      <c r="Z14" s="174">
        <f>IF(AND(ISNUMBER(T14),ISNUMBER(R16)),IF(T14&gt;R16,3,IF(T14=R16,1,0)),0)</f>
        <v>1</v>
      </c>
      <c r="AA14" s="174">
        <f>IF(AND(ISNUMBER(U14),ISNUMBER(R17)),IF(U14&gt;R17,3,IF(U14=R17,1,0)),0)</f>
        <v>1</v>
      </c>
      <c r="AB14" s="164"/>
      <c r="AC14" s="175">
        <f>I14*100000+J14*1000+G14</f>
        <v>0</v>
      </c>
      <c r="AD14" s="175">
        <f>COUNTIF(AC14:AC17,AC14)</f>
        <v>4</v>
      </c>
      <c r="AE14" s="175">
        <f>IF(AD14=1,"x","")</f>
      </c>
      <c r="AF14" s="164"/>
      <c r="AG14" s="176">
        <f>IF(AE14="x",1,IF(AC15=AC14,2,IF(AC16=AC14,3,4)))</f>
        <v>2</v>
      </c>
      <c r="AH14" s="168">
        <f>INDEX(X14:AA14,1,AG14)</f>
        <v>1</v>
      </c>
      <c r="AI14" s="177">
        <f>IF(OR($AD$18=2,$AD$18=4),AH14/10,0)</f>
        <v>0</v>
      </c>
      <c r="AJ14" s="167"/>
      <c r="AK14" s="178"/>
      <c r="AL14" s="168" t="e">
        <f>I14-INDEX(X14:AA14,1,$AK$13)-AR14-AW14</f>
        <v>#N/A</v>
      </c>
      <c r="AM14" s="168" t="e">
        <f>J14-INDEX(R14:U14,1,AK13)-INDEX(R14:R17,AK13,1)-ABS(AS14)-ABS(AX14)</f>
        <v>#N/A</v>
      </c>
      <c r="AN14" s="168" t="e">
        <f>G14-INDEX(R14:U14,1,$AK$13)-AT14-AY14</f>
        <v>#N/A</v>
      </c>
      <c r="AO14" s="179">
        <f>IF(OR($AD$18&lt;&gt;3,AE14="x"),0,AL14/10+AM14/1000+AN14/100000)</f>
        <v>0</v>
      </c>
      <c r="AP14" s="167"/>
      <c r="AQ14" s="180"/>
      <c r="AR14" s="168">
        <f>IF(ISNA($AQ$13),0,INDEX(X14:AA14,1,$AQ$13))</f>
        <v>0</v>
      </c>
      <c r="AS14" s="168">
        <f>IF(ISNA($AQ$13),0,(INDEX(R14:U14,1,$AQ$13)-INDEX(R14:R17,$AQ$13,1)))</f>
        <v>0</v>
      </c>
      <c r="AT14" s="168">
        <f>IF(ISNA($AQ$13),0,INDEX(R14:U14,1,$AQ$13))</f>
        <v>0</v>
      </c>
      <c r="AU14" s="166"/>
      <c r="AV14" s="180"/>
      <c r="AW14" s="168">
        <f>IF(ISNA($AV$13),0,INDEX(X14:AA14,1,$AV$13))</f>
        <v>0</v>
      </c>
      <c r="AX14" s="168">
        <f>IF(ISNA($AV$13),0,(INDEX(R14:U14,1,$AV$13)-INDEX(R14:R17,$AV$13,1)))</f>
        <v>0</v>
      </c>
      <c r="AY14" s="168">
        <f>IF(ISNA($AV$13),0,INDEX(R14:U14,1,$AV$13))</f>
        <v>0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</row>
    <row r="15" spans="2:86" s="36" customFormat="1" ht="12.75">
      <c r="B15" s="43">
        <v>2</v>
      </c>
      <c r="C15" s="151">
        <f>RANK(D15,$D$14:$D$17,1)</f>
        <v>2</v>
      </c>
      <c r="D15" s="151">
        <f>E15+ROW()/1000</f>
        <v>1.015</v>
      </c>
      <c r="E15" s="151">
        <f>RANK(K15,$K$14:$K$17)</f>
        <v>1</v>
      </c>
      <c r="F15" s="43" t="str">
        <f>VLOOKUP(B15,Ergebniseingabe!$AB$19:$AW$22,2,0)</f>
        <v>Eifelboyz</v>
      </c>
      <c r="G15" s="39">
        <f>SUMPRODUCT((F15=Ergebniseingabe!$L$27:$AF$38)*(Ergebniseingabe!$BC$27:$BC$38))+SUMPRODUCT((F15=Ergebniseingabe!$AH$27:$BB$38)*(Ergebniseingabe!$BF$27:$BF$38))</f>
        <v>0</v>
      </c>
      <c r="H15" s="39">
        <f>SUMPRODUCT((F15=Ergebniseingabe!$L$27:$AF$38)*(Ergebniseingabe!$BF$27:$BF$38))+SUMPRODUCT((F15=Ergebniseingabe!$AH$27:$BB$38)*(Ergebniseingabe!$BC$27:$BC$38))</f>
        <v>0</v>
      </c>
      <c r="I15" s="39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0</v>
      </c>
      <c r="J15" s="40">
        <f>G15-H15</f>
        <v>0</v>
      </c>
      <c r="K15" s="190">
        <f>AC15+AI15+AO15</f>
        <v>0</v>
      </c>
      <c r="L15" s="39">
        <f>SUMPRODUCT((Ergebniseingabe!$L$27:$AF$38=F15)*(Ergebniseingabe!$BC$27:$BC$38&lt;&gt;""))+SUMPRODUCT((Ergebniseingabe!$AH$27:$BB$38=F15)*(Ergebniseingabe!$BF$27:$BF$38&lt;&gt;""))</f>
        <v>0</v>
      </c>
      <c r="M15" s="39">
        <f>SUMPRODUCT((Ergebniseingabe!$L$27:$AF$38=F15)*(Ergebniseingabe!$BC$27:$BC$38&gt;Ergebniseingabe!$BF$27:$BF$38))+SUMPRODUCT((Ergebniseingabe!$AH$27:$BB$38=F15)*(Ergebniseingabe!$BC$27:$BC$38&lt;Ergebniseingabe!$BF$27:$BF$38))</f>
        <v>0</v>
      </c>
      <c r="N15" s="39">
        <f>SUMPRODUCT((Ergebniseingabe!$L$27:$BB$38=F15)*(Ergebniseingabe!$BC$27:$BC$38=Ergebniseingabe!$BF$27:$BF$38)*(Ergebniseingabe!$BC$27:$BC$38&lt;&gt;"")*(Ergebniseingabe!$BF$27:$BF$38&lt;&gt;""))</f>
        <v>0</v>
      </c>
      <c r="O15" s="39">
        <f>SUMPRODUCT((Ergebniseingabe!$L$27:$AF$38=F15)*(Ergebniseingabe!$BC$27:$BC$38&lt;Ergebniseingabe!$BF$27:$BF$38))+SUMPRODUCT((Ergebniseingabe!$AH$27:$BB$38=F15)*(Ergebniseingabe!$BC$27:$BC$38&gt;Ergebniseingabe!$BF$27:$BF$38))</f>
        <v>0</v>
      </c>
      <c r="Q15" s="172" t="str">
        <f>F15</f>
        <v>Eifelboyz</v>
      </c>
      <c r="R15" s="174">
        <f>IF(AND(Q15&amp;$R$13=VLOOKUP(Q15&amp;$R$13,$D$23:$I$46,1,0),VLOOKUP(Q15&amp;$R$13,$D$23:$I$46,6,0)&lt;&gt;""),VLOOKUP(Q15&amp;$R$13,$D$23:$I$46,6,0),)</f>
        <v>0</v>
      </c>
      <c r="S15" s="173"/>
      <c r="T15" s="174">
        <f>IF(AND(Q15&amp;$T$13=VLOOKUP(Q15&amp;$T$13,$D$23:$I$46,1,0),VLOOKUP(Q15&amp;$T$13,$D$23:$I$46,6,0)&lt;&gt;""),VLOOKUP(Q15&amp;$T$13,$D$23:$I$46,6,0),)</f>
        <v>0</v>
      </c>
      <c r="U15" s="174">
        <f>IF(AND(Q15&amp;$U$13=VLOOKUP(Q15&amp;$U$13,$D$23:$I$46,1,0),VLOOKUP(Q15&amp;$U$13,$D$23:$I$46,6,0)&lt;&gt;""),VLOOKUP(Q15&amp;$U$13,$D$23:$I$46,6,0),)</f>
        <v>0</v>
      </c>
      <c r="V15" s="164"/>
      <c r="W15" s="181" t="str">
        <f>Q15</f>
        <v>Eifelboyz</v>
      </c>
      <c r="X15" s="174">
        <f>IF(AND(ISNUMBER(R15),ISNUMBER(S14)),IF(R15&gt;S14,3,IF(R15=S14,1,0)),0)</f>
        <v>1</v>
      </c>
      <c r="Y15" s="173"/>
      <c r="Z15" s="174">
        <f>IF(AND(ISNUMBER(T15),ISNUMBER(S16)),IF(T15&gt;S16,3,IF(T15=S16,1,0)),0)</f>
        <v>1</v>
      </c>
      <c r="AA15" s="174">
        <f>IF(AND(ISNUMBER(U15),ISNUMBER(S17)),IF(U15&gt;S17,3,IF(U15=S17,1,0)),0)</f>
        <v>1</v>
      </c>
      <c r="AB15" s="164"/>
      <c r="AC15" s="175">
        <f>I15*100000+J15*1000+G15</f>
        <v>0</v>
      </c>
      <c r="AD15" s="182">
        <f>COUNTIF(AC14:AC17,AC15)</f>
        <v>4</v>
      </c>
      <c r="AE15" s="182">
        <f>IF(AD15=1,"x","")</f>
      </c>
      <c r="AF15" s="164"/>
      <c r="AG15" s="176">
        <f>IF(AE15="x",2,IF(AC16=AC15,3,IF(AC17=AC15,4,1)))</f>
        <v>3</v>
      </c>
      <c r="AH15" s="168">
        <f>INDEX(X15:AA15,1,AG15)</f>
        <v>1</v>
      </c>
      <c r="AI15" s="177">
        <f>IF(OR($AD$18=2,$AD$18=4),AH15/10,0)</f>
        <v>0</v>
      </c>
      <c r="AJ15" s="167"/>
      <c r="AK15" s="178"/>
      <c r="AL15" s="168" t="e">
        <f>I15-INDEX(X15:AA15,1,$AK$13)-AR15-AW15</f>
        <v>#N/A</v>
      </c>
      <c r="AM15" s="168" t="e">
        <f>J15-INDEX(R15:U15,1,AK13)-INDEX(S14:S17,AK13,1)-ABS(AS15)-ABS(AX15)</f>
        <v>#N/A</v>
      </c>
      <c r="AN15" s="168" t="e">
        <f>G15-INDEX(R15:U15,1,$AK$13)-AT15-AY15</f>
        <v>#N/A</v>
      </c>
      <c r="AO15" s="179">
        <f>IF(OR($AD$18&lt;&gt;3,AE15="x"),0,AL15/10+AM15/1000+AN15/100000)</f>
        <v>0</v>
      </c>
      <c r="AP15" s="167"/>
      <c r="AQ15" s="180"/>
      <c r="AR15" s="168">
        <f>IF(ISNA($AQ$13),0,INDEX(X15:AA15,1,$AQ$13))</f>
        <v>0</v>
      </c>
      <c r="AS15" s="168">
        <f>IF(ISNA($AQ$13),0,(INDEX(R15:U15,1,$AQ$13)-INDEX(S14:S17,$AQ$13,1)))</f>
        <v>0</v>
      </c>
      <c r="AT15" s="168">
        <f>IF(ISNA($AQ$13),0,INDEX(R15:U15,1,$AQ$13))</f>
        <v>0</v>
      </c>
      <c r="AU15" s="166"/>
      <c r="AV15" s="180"/>
      <c r="AW15" s="168">
        <f>IF(ISNA($AV$13),0,INDEX(X15:AA15,1,$AV$13))</f>
        <v>0</v>
      </c>
      <c r="AX15" s="168">
        <f>IF(ISNA($AV$13),0,(INDEX(R15:U15,1,$AV$13)-INDEX(S14:S17,$AV$13,1)))</f>
        <v>0</v>
      </c>
      <c r="AY15" s="168">
        <f>IF(ISNA($AV$13),0,INDEX(R15:U15,1,$AV$13))</f>
        <v>0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</row>
    <row r="16" spans="2:86" s="36" customFormat="1" ht="12.75">
      <c r="B16" s="43">
        <v>3</v>
      </c>
      <c r="C16" s="151">
        <f>RANK(D16,$D$14:$D$17,1)</f>
        <v>3</v>
      </c>
      <c r="D16" s="151">
        <f>E16+ROW()/1000</f>
        <v>1.016</v>
      </c>
      <c r="E16" s="151">
        <f>RANK(K16,$K$14:$K$17)</f>
        <v>1</v>
      </c>
      <c r="F16" s="43" t="str">
        <f>VLOOKUP(B16,Ergebniseingabe!$AB$19:$AW$22,2,0)</f>
        <v>A-Jugend (m)</v>
      </c>
      <c r="G16" s="39">
        <f>SUMPRODUCT((F16=Ergebniseingabe!$L$27:$AF$38)*(Ergebniseingabe!$BC$27:$BC$38))+SUMPRODUCT((F16=Ergebniseingabe!$AH$27:$BB$38)*(Ergebniseingabe!$BF$27:$BF$38))</f>
        <v>0</v>
      </c>
      <c r="H16" s="39">
        <f>SUMPRODUCT((F16=Ergebniseingabe!$L$27:$AF$38)*(Ergebniseingabe!$BF$27:$BF$38))+SUMPRODUCT((F16=Ergebniseingabe!$AH$27:$BB$38)*(Ergebniseingabe!$BC$27:$BC$38))</f>
        <v>0</v>
      </c>
      <c r="I16" s="39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0</v>
      </c>
      <c r="J16" s="40">
        <f>G16-H16</f>
        <v>0</v>
      </c>
      <c r="K16" s="190">
        <f>AC16+AI16+AO16</f>
        <v>0</v>
      </c>
      <c r="L16" s="39">
        <f>SUMPRODUCT((Ergebniseingabe!$L$27:$AF$38=F16)*(Ergebniseingabe!$BC$27:$BC$38&lt;&gt;""))+SUMPRODUCT((Ergebniseingabe!$AH$27:$BB$38=F16)*(Ergebniseingabe!$BF$27:$BF$38&lt;&gt;""))</f>
        <v>0</v>
      </c>
      <c r="M16" s="39">
        <f>SUMPRODUCT((Ergebniseingabe!$L$27:$AF$38=F16)*(Ergebniseingabe!$BC$27:$BC$38&gt;Ergebniseingabe!$BF$27:$BF$38))+SUMPRODUCT((Ergebniseingabe!$AH$27:$BB$38=F16)*(Ergebniseingabe!$BC$27:$BC$38&lt;Ergebniseingabe!$BF$27:$BF$38))</f>
        <v>0</v>
      </c>
      <c r="N16" s="39">
        <f>SUMPRODUCT((Ergebniseingabe!$L$27:$BB$38=F16)*(Ergebniseingabe!$BC$27:$BC$38=Ergebniseingabe!$BF$27:$BF$38)*(Ergebniseingabe!$BC$27:$BC$38&lt;&gt;"")*(Ergebniseingabe!$BF$27:$BF$38&lt;&gt;""))</f>
        <v>0</v>
      </c>
      <c r="O16" s="39">
        <f>SUMPRODUCT((Ergebniseingabe!$L$27:$AF$38=F16)*(Ergebniseingabe!$BC$27:$BC$38&lt;Ergebniseingabe!$BF$27:$BF$38))+SUMPRODUCT((Ergebniseingabe!$AH$27:$BB$38=F16)*(Ergebniseingabe!$BC$27:$BC$38&gt;Ergebniseingabe!$BF$27:$BF$38))</f>
        <v>0</v>
      </c>
      <c r="Q16" s="172" t="str">
        <f>F16</f>
        <v>A-Jugend (m)</v>
      </c>
      <c r="R16" s="174">
        <f>IF(AND(Q16&amp;$R$13=VLOOKUP(Q16&amp;$R$13,$D$23:$I$46,1,0),VLOOKUP(Q16&amp;$R$13,$D$23:$I$46,6,0)&lt;&gt;""),VLOOKUP(Q16&amp;$R$13,$D$23:$I$46,6,0),)</f>
        <v>0</v>
      </c>
      <c r="S16" s="174">
        <f>IF(AND(Q16&amp;$S$13=VLOOKUP(Q16&amp;$S$13,$D$23:$I$46,1,0),VLOOKUP(Q16&amp;$S$13,$D$23:$I$46,6,0)&lt;&gt;""),VLOOKUP(Q16&amp;$S$13,$D$23:$I$46,6,0),)</f>
        <v>0</v>
      </c>
      <c r="T16" s="173"/>
      <c r="U16" s="174">
        <f>IF(AND(Q16&amp;$U$13=VLOOKUP(Q16&amp;$U$13,$D$23:$I$46,1,0),VLOOKUP(Q16&amp;$U$13,$D$23:$I$46,6,0)&lt;&gt;""),VLOOKUP(Q16&amp;$U$13,$D$23:$I$46,6,0),)</f>
        <v>0</v>
      </c>
      <c r="V16" s="164"/>
      <c r="W16" s="181" t="str">
        <f>Q16</f>
        <v>A-Jugend (m)</v>
      </c>
      <c r="X16" s="174">
        <f>IF(AND(ISNUMBER(R16),ISNUMBER(T14)),IF(R16&gt;T14,3,IF(R16=T14,1,0)),0)</f>
        <v>1</v>
      </c>
      <c r="Y16" s="174">
        <f>IF(AND(ISNUMBER(S16),ISNUMBER(T15)),IF(S16&gt;T15,3,IF(S16=T15,1,0)),0)</f>
        <v>1</v>
      </c>
      <c r="Z16" s="173"/>
      <c r="AA16" s="174">
        <f>IF(AND(ISNUMBER(U16),ISNUMBER(T17)),IF(U16&gt;T17,3,IF(U16=T17,1,0)),0)</f>
        <v>1</v>
      </c>
      <c r="AB16" s="164"/>
      <c r="AC16" s="175">
        <f>I16*100000+J16*1000+G16</f>
        <v>0</v>
      </c>
      <c r="AD16" s="183">
        <f>COUNTIF(AC14:AC17,AC16)</f>
        <v>4</v>
      </c>
      <c r="AE16" s="182">
        <f>IF(AD16=1,"x","")</f>
      </c>
      <c r="AF16" s="164"/>
      <c r="AG16" s="176">
        <f>IF(AE16="x",3,IF(AC17=AC16,4,IF(AC15=AC16,2,1)))</f>
        <v>4</v>
      </c>
      <c r="AH16" s="168">
        <f>INDEX(X16:AA16,1,AG16)</f>
        <v>1</v>
      </c>
      <c r="AI16" s="177">
        <f>IF(OR($AD$18=2,$AD$18=4),AH16/10,0)</f>
        <v>0</v>
      </c>
      <c r="AJ16" s="167"/>
      <c r="AK16" s="178"/>
      <c r="AL16" s="168" t="e">
        <f>I16-INDEX(X16:AA16,1,$AK$13)-AR16-AW16</f>
        <v>#N/A</v>
      </c>
      <c r="AM16" s="168" t="e">
        <f>J16-INDEX(R16:U16,1,AK13)-INDEX(T14:T17,AK13,1)-ABS(AS16)-ABS(AX16)</f>
        <v>#N/A</v>
      </c>
      <c r="AN16" s="168" t="e">
        <f>G16-INDEX(R16:U16,1,$AK$13)-AT16-AY16</f>
        <v>#N/A</v>
      </c>
      <c r="AO16" s="179">
        <f>IF(OR($AD$18&lt;&gt;3,AE16="x"),0,AL16/10+AM16/1000+AN16/100000)</f>
        <v>0</v>
      </c>
      <c r="AP16" s="167"/>
      <c r="AQ16" s="180"/>
      <c r="AR16" s="168">
        <f>IF(ISNA($AQ$13),0,INDEX(X16:AA16,1,$AQ$13))</f>
        <v>0</v>
      </c>
      <c r="AS16" s="168">
        <f>IF(ISNA($AQ$13),0,(INDEX(R16:U16,1,$AQ$13)-INDEX(T14:T17,$AQ$13,1)))</f>
        <v>0</v>
      </c>
      <c r="AT16" s="168">
        <f>IF(ISNA($AQ$13),0,INDEX(R16:U16,1,$AQ$13))</f>
        <v>0</v>
      </c>
      <c r="AU16" s="166"/>
      <c r="AV16" s="180"/>
      <c r="AW16" s="168">
        <f>IF(ISNA($AV$13),0,INDEX(X16:AA16,1,$AV$13))</f>
        <v>0</v>
      </c>
      <c r="AX16" s="168">
        <f>IF(ISNA($AV$13),0,(INDEX(R16:U16,1,$AV$13)-INDEX(T14:T17,$AV$13,1)))</f>
        <v>0</v>
      </c>
      <c r="AY16" s="168">
        <f>IF(ISNA($AV$13),0,INDEX(R16:U16,1,$AV$13))</f>
        <v>0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</row>
    <row r="17" spans="2:86" s="36" customFormat="1" ht="12.75">
      <c r="B17" s="43">
        <v>4</v>
      </c>
      <c r="C17" s="151">
        <f>RANK(D17,$D$14:$D$17,1)</f>
        <v>4</v>
      </c>
      <c r="D17" s="151">
        <f>E17+ROW()/1000</f>
        <v>1.017</v>
      </c>
      <c r="E17" s="151">
        <f>RANK(K17,$K$14:$K$17)</f>
        <v>1</v>
      </c>
      <c r="F17" s="43" t="str">
        <f>VLOOKUP(B17,Ergebniseingabe!$AB$19:$AW$22,2,0)</f>
        <v>A-Jugend (w)</v>
      </c>
      <c r="G17" s="39">
        <f>SUMPRODUCT((F17=Ergebniseingabe!$L$27:$AF$38)*(Ergebniseingabe!$BC$27:$BC$38))+SUMPRODUCT((F17=Ergebniseingabe!$AH$27:$BB$38)*(Ergebniseingabe!$BF$27:$BF$38))</f>
        <v>0</v>
      </c>
      <c r="H17" s="39">
        <f>SUMPRODUCT((F17=Ergebniseingabe!$L$27:$AF$38)*(Ergebniseingabe!$BF$27:$BF$38))+SUMPRODUCT((F17=Ergebniseingabe!$AH$27:$BB$38)*(Ergebniseingabe!$BC$27:$BC$38))</f>
        <v>0</v>
      </c>
      <c r="I17" s="39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0</v>
      </c>
      <c r="J17" s="40">
        <f>G17-H17</f>
        <v>0</v>
      </c>
      <c r="K17" s="190">
        <f>AC17+AI17+AO17</f>
        <v>0</v>
      </c>
      <c r="L17" s="39">
        <f>SUMPRODUCT((Ergebniseingabe!$L$27:$AF$38=F17)*(Ergebniseingabe!$BC$27:$BC$38&lt;&gt;""))+SUMPRODUCT((Ergebniseingabe!$AH$27:$BB$38=F17)*(Ergebniseingabe!$BF$27:$BF$38&lt;&gt;""))</f>
        <v>0</v>
      </c>
      <c r="M17" s="39">
        <f>SUMPRODUCT((Ergebniseingabe!$L$27:$AF$38=F17)*(Ergebniseingabe!$BC$27:$BC$38&gt;Ergebniseingabe!$BF$27:$BF$38))+SUMPRODUCT((Ergebniseingabe!$AH$27:$BB$38=F17)*(Ergebniseingabe!$BC$27:$BC$38&lt;Ergebniseingabe!$BF$27:$BF$38))</f>
        <v>0</v>
      </c>
      <c r="N17" s="39">
        <f>SUMPRODUCT((Ergebniseingabe!$L$27:$BB$38=F17)*(Ergebniseingabe!$BC$27:$BC$38=Ergebniseingabe!$BF$27:$BF$38)*(Ergebniseingabe!$BC$27:$BC$38&lt;&gt;"")*(Ergebniseingabe!$BF$27:$BF$38&lt;&gt;""))</f>
        <v>0</v>
      </c>
      <c r="O17" s="39">
        <f>SUMPRODUCT((Ergebniseingabe!$L$27:$AF$38=F17)*(Ergebniseingabe!$BC$27:$BC$38&lt;Ergebniseingabe!$BF$27:$BF$38))+SUMPRODUCT((Ergebniseingabe!$AH$27:$BB$38=F17)*(Ergebniseingabe!$BC$27:$BC$38&gt;Ergebniseingabe!$BF$27:$BF$38))</f>
        <v>0</v>
      </c>
      <c r="Q17" s="172" t="str">
        <f>F17</f>
        <v>A-Jugend (w)</v>
      </c>
      <c r="R17" s="174">
        <f>IF(AND(Q17&amp;$R$13=VLOOKUP(Q17&amp;$R$13,$D$23:$I$46,1,0),VLOOKUP(Q17&amp;$R$13,$D$23:$I$46,6,0)&lt;&gt;""),VLOOKUP(Q17&amp;$R$13,$D$23:$I$46,6,0),)</f>
        <v>0</v>
      </c>
      <c r="S17" s="174">
        <f>IF(AND(Q17&amp;$S$13=VLOOKUP(Q17&amp;$S$13,$D$23:$I$46,1,0),VLOOKUP(Q17&amp;$S$13,$D$23:$I$46,6,0)&lt;&gt;""),VLOOKUP(Q17&amp;$S$13,$D$23:$I$46,6,0),)</f>
        <v>0</v>
      </c>
      <c r="T17" s="174">
        <f>IF(AND(Q17&amp;$T$13=VLOOKUP(Q17&amp;$T$13,$D$23:$I$46,1,0),VLOOKUP(Q17&amp;$T$13,$D$23:$I$46,6,0)&lt;&gt;""),VLOOKUP(Q17&amp;$T$13,$D$23:$I$46,6,0),)</f>
        <v>0</v>
      </c>
      <c r="U17" s="173"/>
      <c r="V17" s="164"/>
      <c r="W17" s="185" t="str">
        <f>Q17</f>
        <v>A-Jugend (w)</v>
      </c>
      <c r="X17" s="174">
        <f>IF(AND(ISNUMBER(R17),ISNUMBER(U14)),IF(R17&gt;U14,3,IF(R17=U14,1,0)),0)</f>
        <v>1</v>
      </c>
      <c r="Y17" s="174">
        <f>IF(AND(ISNUMBER(S17),ISNUMBER(U15)),IF(S17&gt;U15,3,IF(S17=U15,1,0)),0)</f>
        <v>1</v>
      </c>
      <c r="Z17" s="174">
        <f>IF(AND(ISNUMBER(T17),ISNUMBER(U16)),IF(T17&gt;U16,3,IF(T17=U16,1,0)),0)</f>
        <v>1</v>
      </c>
      <c r="AA17" s="173"/>
      <c r="AB17" s="164"/>
      <c r="AC17" s="175">
        <f>I17*100000+J17*1000+G17</f>
        <v>0</v>
      </c>
      <c r="AD17" s="186">
        <f>COUNTIF(AC14:AC17,AC17)</f>
        <v>4</v>
      </c>
      <c r="AE17" s="186">
        <f>IF(AD17=1,"x","")</f>
      </c>
      <c r="AF17" s="164"/>
      <c r="AG17" s="176">
        <f>IF(AE17="x",4,IF(AC14=AC17,1,IF(AC15=AC17,2,3)))</f>
        <v>1</v>
      </c>
      <c r="AH17" s="168">
        <f>INDEX(X17:AA17,1,AG17)</f>
        <v>1</v>
      </c>
      <c r="AI17" s="177">
        <f>IF(OR($AD$18=2,$AD$18=4),AH17/10,0)</f>
        <v>0</v>
      </c>
      <c r="AJ17" s="167"/>
      <c r="AK17" s="166"/>
      <c r="AL17" s="168" t="e">
        <f>I17-INDEX(X17:AA17,1,$AK$13)-AR17-AW17</f>
        <v>#N/A</v>
      </c>
      <c r="AM17" s="168" t="e">
        <f>J17-INDEX(R17:U17,1,AK13)-INDEX(U14:U17,AK13,1)-ABS(AS17)-ABS(AX17)</f>
        <v>#N/A</v>
      </c>
      <c r="AN17" s="168" t="e">
        <f>G17-INDEX(R17:U17,1,$AK$13)-AT17-AY17</f>
        <v>#N/A</v>
      </c>
      <c r="AO17" s="179">
        <f>IF(OR($AD$18&lt;&gt;3,AE17="x"),0,AL17/10+AM17/1000+AN17/100000)</f>
        <v>0</v>
      </c>
      <c r="AP17" s="167"/>
      <c r="AQ17" s="180"/>
      <c r="AR17" s="168">
        <f>IF(ISNA($AQ$13),0,INDEX(X17:AA17,1,$AQ$13))</f>
        <v>0</v>
      </c>
      <c r="AS17" s="168">
        <f>IF(ISNA($AQ$13),0,(INDEX(R17:U17,1,$AQ$13)-INDEX(U14:U17,$AQ$13,1)))</f>
        <v>0</v>
      </c>
      <c r="AT17" s="168">
        <f>IF(ISNA($AQ$13),0,INDEX(R17:U17,1,$AQ$13))</f>
        <v>0</v>
      </c>
      <c r="AU17" s="166"/>
      <c r="AV17" s="180"/>
      <c r="AW17" s="168">
        <f>IF(ISNA($AV$13),0,INDEX(X17:AA17,1,$AV$13))</f>
        <v>0</v>
      </c>
      <c r="AX17" s="168">
        <f>IF(ISNA($AV$13),0,(INDEX(R17:U17,1,$AV$13)-INDEX(U14:U17,$AV$13,1)))</f>
        <v>0</v>
      </c>
      <c r="AY17" s="168">
        <f>IF(ISNA($AV$13),0,INDEX(R17:U17,1,$AV$13))</f>
        <v>0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</row>
    <row r="18" spans="2:86" s="36" customFormat="1" ht="35.25">
      <c r="B18" s="151">
        <f>COUNT((B14:B17))*(COUNT(B14:B17)-1)</f>
        <v>12</v>
      </c>
      <c r="C18" s="151"/>
      <c r="D18" s="151"/>
      <c r="E18" s="154">
        <f>COUNTIF($E$14:$E$17,1)</f>
        <v>4</v>
      </c>
      <c r="F18" s="151"/>
      <c r="G18" s="151"/>
      <c r="H18" s="151"/>
      <c r="I18" s="151"/>
      <c r="J18" s="151"/>
      <c r="K18" s="151"/>
      <c r="L18" s="151">
        <f>SUM(L14:L17)</f>
        <v>0</v>
      </c>
      <c r="M18" s="151"/>
      <c r="N18" s="153"/>
      <c r="O18" s="4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87" t="s">
        <v>77</v>
      </c>
      <c r="AD18" s="188">
        <f>MOD(MIN(AD14:AD17)*MAX(AD14:AD17),11)</f>
        <v>5</v>
      </c>
      <c r="AE18" s="170"/>
      <c r="AF18" s="164"/>
      <c r="AG18" s="178"/>
      <c r="AH18" s="166"/>
      <c r="AI18" s="166"/>
      <c r="AJ18" s="167"/>
      <c r="AK18" s="178"/>
      <c r="AL18" s="189" t="s">
        <v>55</v>
      </c>
      <c r="AM18" s="189" t="s">
        <v>56</v>
      </c>
      <c r="AN18" s="189" t="s">
        <v>78</v>
      </c>
      <c r="AO18" s="170"/>
      <c r="AP18" s="167"/>
      <c r="AQ18" s="170"/>
      <c r="AR18" s="189" t="s">
        <v>55</v>
      </c>
      <c r="AS18" s="189" t="s">
        <v>56</v>
      </c>
      <c r="AT18" s="189" t="s">
        <v>78</v>
      </c>
      <c r="AU18" s="170"/>
      <c r="AV18" s="170"/>
      <c r="AW18" s="189" t="s">
        <v>55</v>
      </c>
      <c r="AX18" s="189" t="s">
        <v>56</v>
      </c>
      <c r="AY18" s="189" t="s">
        <v>78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</row>
    <row r="19" spans="2:86" s="36" customFormat="1" ht="12.75">
      <c r="B19" s="151"/>
      <c r="C19" s="151"/>
      <c r="D19" s="151"/>
      <c r="E19" s="151">
        <f>COUNTIF($E$14:$E$17,2)</f>
        <v>0</v>
      </c>
      <c r="F19" s="151"/>
      <c r="G19" s="151"/>
      <c r="H19" s="151"/>
      <c r="I19" s="151"/>
      <c r="J19" s="151"/>
      <c r="K19" s="151"/>
      <c r="L19" s="151"/>
      <c r="M19" s="151"/>
      <c r="N19" s="153"/>
      <c r="O19" s="43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</row>
    <row r="20" spans="2:86" s="36" customFormat="1" ht="12.75">
      <c r="B20" s="155"/>
      <c r="C20" s="155"/>
      <c r="D20" s="155"/>
      <c r="E20" s="151">
        <f>COUNTIF($E$14:$E$17,3)</f>
        <v>0</v>
      </c>
      <c r="F20" s="155"/>
      <c r="G20" s="155"/>
      <c r="H20" s="155"/>
      <c r="I20" s="155"/>
      <c r="J20" s="155"/>
      <c r="K20" s="155"/>
      <c r="L20" s="155"/>
      <c r="M20" s="155"/>
      <c r="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</row>
    <row r="21" spans="5:86" s="36" customFormat="1" ht="12.75">
      <c r="E21" s="151">
        <f>COUNTIF($E$14:$E$17,4)</f>
        <v>0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</row>
    <row r="22" spans="67:86" s="36" customFormat="1" ht="12.75"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</row>
    <row r="23" spans="4:86" s="36" customFormat="1" ht="12.75">
      <c r="D23" s="36" t="str">
        <f aca="true" t="shared" si="0" ref="D23:D46">E23&amp;F23</f>
        <v>SVM Senioren ISVM Senioren III</v>
      </c>
      <c r="E23" s="36" t="str">
        <f>F5</f>
        <v>SVM Senioren I</v>
      </c>
      <c r="F23" s="36" t="str">
        <f>F6</f>
        <v>SVM Senioren III</v>
      </c>
      <c r="G23" s="36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</c>
      <c r="H23" s="36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</c>
      <c r="I23" s="43">
        <f>IF(SUMPRODUCT((Ergebniseingabe!$L$27:$L$38=E23)*(Ergebniseingabe!$AH$27:$AH$38=F23)*(ISNUMBER(Ergebniseingabe!$BF$27:$BF$38)))=1,SUMPRODUCT((Ergebniseingabe!$L$27:$L$38=E23)*(Ergebniseingabe!$AH$27:$AH$38=F23)*(Ergebniseingabe!$BC$27:$BC$38)),"")</f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</row>
    <row r="24" spans="4:86" s="36" customFormat="1" ht="12.75">
      <c r="D24" s="36" t="str">
        <f t="shared" si="0"/>
        <v>SVM Senioren IEsch</v>
      </c>
      <c r="E24" s="36" t="str">
        <f>F5</f>
        <v>SVM Senioren I</v>
      </c>
      <c r="F24" s="36" t="str">
        <f>F7</f>
        <v>Esch</v>
      </c>
      <c r="G24" s="36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</c>
      <c r="H24" s="36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</c>
      <c r="I24" s="43">
        <f>IF(SUMPRODUCT((Ergebniseingabe!$L$27:$L$38=E24)*(Ergebniseingabe!$AH$27:$AH$38=F24)*(ISNUMBER(Ergebniseingabe!$BF$27:$BF$38)))=1,SUMPRODUCT((Ergebniseingabe!$L$27:$L$38=E24)*(Ergebniseingabe!$AH$27:$AH$38=F24)*(Ergebniseingabe!$BC$27:$BC$38)),"")</f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</row>
    <row r="25" spans="4:86" s="36" customFormat="1" ht="12.75">
      <c r="D25" s="36" t="str">
        <f t="shared" si="0"/>
        <v>SVM Senioren IB-Jugend</v>
      </c>
      <c r="E25" s="36" t="str">
        <f>F5</f>
        <v>SVM Senioren I</v>
      </c>
      <c r="F25" s="36" t="str">
        <f>F8</f>
        <v>B-Jugend</v>
      </c>
      <c r="G25" s="36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</c>
      <c r="H25" s="36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</c>
      <c r="I25" s="161">
        <f>IF(SUMPRODUCT((Ergebniseingabe!$AH$27:$AH$38=E25)*(Ergebniseingabe!$L$27:$L$38=F25)*(ISNUMBER(Ergebniseingabe!$BC$27:$BC$38)))=1,SUMPRODUCT((Ergebniseingabe!$AH$27:$AH$38=E25)*(Ergebniseingabe!$L$27:$L$38=F25)*(Ergebniseingabe!$BF$27:$BF$38)),"")</f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</row>
    <row r="26" spans="4:86" s="36" customFormat="1" ht="12.75">
      <c r="D26" s="36" t="str">
        <f t="shared" si="0"/>
        <v>SVM Senioren IIIEsch</v>
      </c>
      <c r="E26" s="36" t="str">
        <f>F6</f>
        <v>SVM Senioren III</v>
      </c>
      <c r="F26" s="36" t="str">
        <f>F7</f>
        <v>Esch</v>
      </c>
      <c r="G26" s="36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</c>
      <c r="H26" s="36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</c>
      <c r="I26" s="43">
        <f>IF(SUMPRODUCT((Ergebniseingabe!$L$27:$L$38=E26)*(Ergebniseingabe!$AH$27:$AH$38=F26)*(ISNUMBER(Ergebniseingabe!$BF$27:$BF$38)))=1,SUMPRODUCT((Ergebniseingabe!$L$27:$L$38=E26)*(Ergebniseingabe!$AH$27:$AH$38=F26)*(Ergebniseingabe!$BC$27:$BC$38)),"")</f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</row>
    <row r="27" spans="4:86" s="36" customFormat="1" ht="12.75">
      <c r="D27" s="36" t="str">
        <f t="shared" si="0"/>
        <v>SVM Senioren IIIB-Jugend</v>
      </c>
      <c r="E27" s="36" t="str">
        <f>F6</f>
        <v>SVM Senioren III</v>
      </c>
      <c r="F27" s="36" t="str">
        <f>F8</f>
        <v>B-Jugend</v>
      </c>
      <c r="G27" s="36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</c>
      <c r="H27" s="36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</c>
      <c r="I27" s="43">
        <f>IF(SUMPRODUCT((Ergebniseingabe!$L$27:$L$38=E27)*(Ergebniseingabe!$AH$27:$AH$38=F27)*(ISNUMBER(Ergebniseingabe!$BF$27:$BF$38)))=1,SUMPRODUCT((Ergebniseingabe!$L$27:$L$38=E27)*(Ergebniseingabe!$AH$27:$AH$38=F27)*(Ergebniseingabe!$BC$27:$BC$38)),"")</f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</row>
    <row r="28" spans="4:86" s="36" customFormat="1" ht="12.75">
      <c r="D28" s="36" t="str">
        <f t="shared" si="0"/>
        <v>EschB-Jugend</v>
      </c>
      <c r="E28" s="36" t="str">
        <f>F7</f>
        <v>Esch</v>
      </c>
      <c r="F28" s="36" t="str">
        <f>F8</f>
        <v>B-Jugend</v>
      </c>
      <c r="G28" s="36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</c>
      <c r="H28" s="36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</c>
      <c r="I28" s="43">
        <f>IF(SUMPRODUCT((Ergebniseingabe!$L$27:$L$38=E28)*(Ergebniseingabe!$AH$27:$AH$38=F28)*(ISNUMBER(Ergebniseingabe!$BF$27:$BF$38)))=1,SUMPRODUCT((Ergebniseingabe!$L$27:$L$38=E28)*(Ergebniseingabe!$AH$27:$AH$38=F28)*(Ergebniseingabe!$BC$27:$BC$38)),"")</f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</row>
    <row r="29" spans="4:86" s="36" customFormat="1" ht="12.75">
      <c r="D29" s="36" t="str">
        <f t="shared" si="0"/>
        <v>SVM Senioren IIISVM Senioren I</v>
      </c>
      <c r="E29" s="36" t="str">
        <f aca="true" t="shared" si="1" ref="E29:E34">F23</f>
        <v>SVM Senioren III</v>
      </c>
      <c r="F29" s="36" t="str">
        <f aca="true" t="shared" si="2" ref="F29:F34">E23</f>
        <v>SVM Senioren I</v>
      </c>
      <c r="G29" s="36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</c>
      <c r="H29" s="36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</c>
      <c r="I29" s="161">
        <f>IF(SUMPRODUCT((Ergebniseingabe!$AH$27:$AH$38=E29)*(Ergebniseingabe!$L$27:$L$38=F29)*(ISNUMBER(Ergebniseingabe!$BC$27:$BC$38)))=1,SUMPRODUCT((Ergebniseingabe!$AH$27:$AH$38=E29)*(Ergebniseingabe!$L$27:$L$38=F29)*(Ergebniseingabe!$BF$27:$BF$38)),"")</f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</row>
    <row r="30" spans="4:86" s="36" customFormat="1" ht="12.75">
      <c r="D30" s="36" t="str">
        <f t="shared" si="0"/>
        <v>EschSVM Senioren I</v>
      </c>
      <c r="E30" s="36" t="str">
        <f t="shared" si="1"/>
        <v>Esch</v>
      </c>
      <c r="F30" s="36" t="str">
        <f t="shared" si="2"/>
        <v>SVM Senioren I</v>
      </c>
      <c r="G30" s="36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</c>
      <c r="H30" s="36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</c>
      <c r="I30" s="161">
        <f>IF(SUMPRODUCT((Ergebniseingabe!$AH$27:$AH$38=E30)*(Ergebniseingabe!$L$27:$L$38=F30)*(ISNUMBER(Ergebniseingabe!$BC$27:$BC$38)))=1,SUMPRODUCT((Ergebniseingabe!$AH$27:$AH$38=E30)*(Ergebniseingabe!$L$27:$L$38=F30)*(Ergebniseingabe!$BF$27:$BF$38)),"")</f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</row>
    <row r="31" spans="4:86" s="36" customFormat="1" ht="12.75">
      <c r="D31" s="36" t="str">
        <f t="shared" si="0"/>
        <v>B-JugendSVM Senioren I</v>
      </c>
      <c r="E31" s="36" t="str">
        <f t="shared" si="1"/>
        <v>B-Jugend</v>
      </c>
      <c r="F31" s="36" t="str">
        <f t="shared" si="2"/>
        <v>SVM Senioren I</v>
      </c>
      <c r="G31" s="36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</c>
      <c r="H31" s="36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</c>
      <c r="I31" s="43">
        <f>IF(SUMPRODUCT((Ergebniseingabe!$L$27:$L$38=E31)*(Ergebniseingabe!$AH$27:$AH$38=F31)*(ISNUMBER(Ergebniseingabe!$BF$27:$BF$38)))=1,SUMPRODUCT((Ergebniseingabe!$L$27:$L$38=E31)*(Ergebniseingabe!$AH$27:$AH$38=F31)*(Ergebniseingabe!$BC$27:$BC$38)),"")</f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</row>
    <row r="32" spans="4:86" s="36" customFormat="1" ht="12.75">
      <c r="D32" s="36" t="str">
        <f t="shared" si="0"/>
        <v>EschSVM Senioren III</v>
      </c>
      <c r="E32" s="36" t="str">
        <f t="shared" si="1"/>
        <v>Esch</v>
      </c>
      <c r="F32" s="36" t="str">
        <f t="shared" si="2"/>
        <v>SVM Senioren III</v>
      </c>
      <c r="G32" s="36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</c>
      <c r="H32" s="36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</c>
      <c r="I32" s="161">
        <f>IF(SUMPRODUCT((Ergebniseingabe!$AH$27:$AH$38=E32)*(Ergebniseingabe!$L$27:$L$38=F32)*(ISNUMBER(Ergebniseingabe!$BC$27:$BC$38)))=1,SUMPRODUCT((Ergebniseingabe!$AH$27:$AH$38=E32)*(Ergebniseingabe!$L$27:$L$38=F32)*(Ergebniseingabe!$BF$27:$BF$38)),"")</f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</row>
    <row r="33" spans="4:86" s="36" customFormat="1" ht="12.75">
      <c r="D33" s="36" t="str">
        <f t="shared" si="0"/>
        <v>B-JugendSVM Senioren III</v>
      </c>
      <c r="E33" s="36" t="str">
        <f t="shared" si="1"/>
        <v>B-Jugend</v>
      </c>
      <c r="F33" s="36" t="str">
        <f t="shared" si="2"/>
        <v>SVM Senioren III</v>
      </c>
      <c r="G33" s="36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</c>
      <c r="H33" s="36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</c>
      <c r="I33" s="161">
        <f>IF(SUMPRODUCT((Ergebniseingabe!$AH$27:$AH$38=E33)*(Ergebniseingabe!$L$27:$L$38=F33)*(ISNUMBER(Ergebniseingabe!$BC$27:$BC$38)))=1,SUMPRODUCT((Ergebniseingabe!$AH$27:$AH$38=E33)*(Ergebniseingabe!$L$27:$L$38=F33)*(Ergebniseingabe!$BF$27:$BF$38)),"")</f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</row>
    <row r="34" spans="4:86" s="36" customFormat="1" ht="12.75">
      <c r="D34" s="36" t="str">
        <f t="shared" si="0"/>
        <v>B-JugendEsch</v>
      </c>
      <c r="E34" s="36" t="str">
        <f t="shared" si="1"/>
        <v>B-Jugend</v>
      </c>
      <c r="F34" s="36" t="str">
        <f t="shared" si="2"/>
        <v>Esch</v>
      </c>
      <c r="G34" s="36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</c>
      <c r="H34" s="36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</c>
      <c r="I34" s="161">
        <f>IF(SUMPRODUCT((Ergebniseingabe!$AH$27:$AH$38=E34)*(Ergebniseingabe!$L$27:$L$38=F34)*(ISNUMBER(Ergebniseingabe!$BC$27:$BC$38)))=1,SUMPRODUCT((Ergebniseingabe!$AH$27:$AH$38=E34)*(Ergebniseingabe!$L$27:$L$38=F34)*(Ergebniseingabe!$BF$27:$BF$38)),"")</f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</row>
    <row r="35" spans="4:86" s="36" customFormat="1" ht="12.75">
      <c r="D35" s="36" t="str">
        <f t="shared" si="0"/>
        <v>SVM Senioren IIEifelboyz</v>
      </c>
      <c r="E35" s="36" t="str">
        <f>F14</f>
        <v>SVM Senioren II</v>
      </c>
      <c r="F35" s="36" t="str">
        <f>F15</f>
        <v>Eifelboyz</v>
      </c>
      <c r="G35" s="36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</c>
      <c r="H35" s="36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</c>
      <c r="I35" s="43">
        <f>IF(SUMPRODUCT((Ergebniseingabe!$L$27:$L$38=E35)*(Ergebniseingabe!$AH$27:$AH$38=F35)*(ISNUMBER(Ergebniseingabe!$BF$27:$BF$38)))=1,SUMPRODUCT((Ergebniseingabe!$L$27:$L$38=E35)*(Ergebniseingabe!$AH$27:$AH$38=F35)*(Ergebniseingabe!$BC$27:$BC$38)),"")</f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</row>
    <row r="36" spans="4:86" s="36" customFormat="1" ht="12.75">
      <c r="D36" s="36" t="str">
        <f t="shared" si="0"/>
        <v>SVM Senioren IIA-Jugend (m)</v>
      </c>
      <c r="E36" s="36" t="str">
        <f>F14</f>
        <v>SVM Senioren II</v>
      </c>
      <c r="F36" s="36" t="str">
        <f>F16</f>
        <v>A-Jugend (m)</v>
      </c>
      <c r="G36" s="36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</c>
      <c r="H36" s="36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</c>
      <c r="I36" s="43">
        <f>IF(SUMPRODUCT((Ergebniseingabe!$L$27:$L$38=E36)*(Ergebniseingabe!$AH$27:$AH$38=F36)*(ISNUMBER(Ergebniseingabe!$BF$27:$BF$38)))=1,SUMPRODUCT((Ergebniseingabe!$L$27:$L$38=E36)*(Ergebniseingabe!$AH$27:$AH$38=F36)*(Ergebniseingabe!$BC$27:$BC$38)),"")</f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</row>
    <row r="37" spans="4:86" s="36" customFormat="1" ht="12.75">
      <c r="D37" s="36" t="str">
        <f t="shared" si="0"/>
        <v>SVM Senioren IIA-Jugend (w)</v>
      </c>
      <c r="E37" s="36" t="str">
        <f>F14</f>
        <v>SVM Senioren II</v>
      </c>
      <c r="F37" s="36" t="str">
        <f>F17</f>
        <v>A-Jugend (w)</v>
      </c>
      <c r="G37" s="36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</c>
      <c r="H37" s="36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</c>
      <c r="I37" s="161">
        <f>IF(SUMPRODUCT((Ergebniseingabe!$AH$27:$AH$38=E37)*(Ergebniseingabe!$L$27:$L$38=F37)*(ISNUMBER(Ergebniseingabe!$BC$27:$BC$38)))=1,SUMPRODUCT((Ergebniseingabe!$AH$27:$AH$38=E37)*(Ergebniseingabe!$L$27:$L$38=F37)*(Ergebniseingabe!$BF$27:$BF$38)),"")</f>
      </c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</row>
    <row r="38" spans="4:86" s="36" customFormat="1" ht="12.75">
      <c r="D38" s="36" t="str">
        <f t="shared" si="0"/>
        <v>EifelboyzA-Jugend (m)</v>
      </c>
      <c r="E38" s="36" t="str">
        <f>F15</f>
        <v>Eifelboyz</v>
      </c>
      <c r="F38" s="36" t="str">
        <f>F16</f>
        <v>A-Jugend (m)</v>
      </c>
      <c r="G38" s="36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</c>
      <c r="H38" s="36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</c>
      <c r="I38" s="43">
        <f>IF(SUMPRODUCT((Ergebniseingabe!$L$27:$L$38=E38)*(Ergebniseingabe!$AH$27:$AH$38=F38)*(ISNUMBER(Ergebniseingabe!$BF$27:$BF$38)))=1,SUMPRODUCT((Ergebniseingabe!$L$27:$L$38=E38)*(Ergebniseingabe!$AH$27:$AH$38=F38)*(Ergebniseingabe!$BC$27:$BC$38)),"")</f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</row>
    <row r="39" spans="4:86" s="36" customFormat="1" ht="12.75">
      <c r="D39" s="36" t="str">
        <f t="shared" si="0"/>
        <v>EifelboyzA-Jugend (w)</v>
      </c>
      <c r="E39" s="36" t="str">
        <f>F15</f>
        <v>Eifelboyz</v>
      </c>
      <c r="F39" s="36" t="str">
        <f>F17</f>
        <v>A-Jugend (w)</v>
      </c>
      <c r="G39" s="36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</c>
      <c r="H39" s="36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</c>
      <c r="I39" s="43">
        <f>IF(SUMPRODUCT((Ergebniseingabe!$L$27:$L$38=E39)*(Ergebniseingabe!$AH$27:$AH$38=F39)*(ISNUMBER(Ergebniseingabe!$BF$27:$BF$38)))=1,SUMPRODUCT((Ergebniseingabe!$L$27:$L$38=E39)*(Ergebniseingabe!$AH$27:$AH$38=F39)*(Ergebniseingabe!$BC$27:$BC$38)),"")</f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</row>
    <row r="40" spans="4:86" s="36" customFormat="1" ht="12.75">
      <c r="D40" s="36" t="str">
        <f t="shared" si="0"/>
        <v>A-Jugend (m)A-Jugend (w)</v>
      </c>
      <c r="E40" s="36" t="str">
        <f>F16</f>
        <v>A-Jugend (m)</v>
      </c>
      <c r="F40" s="36" t="str">
        <f>F17</f>
        <v>A-Jugend (w)</v>
      </c>
      <c r="G40" s="36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</c>
      <c r="H40" s="36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</c>
      <c r="I40" s="43">
        <f>IF(SUMPRODUCT((Ergebniseingabe!$L$27:$L$38=E40)*(Ergebniseingabe!$AH$27:$AH$38=F40)*(ISNUMBER(Ergebniseingabe!$BF$27:$BF$38)))=1,SUMPRODUCT((Ergebniseingabe!$L$27:$L$38=E40)*(Ergebniseingabe!$AH$27:$AH$38=F40)*(Ergebniseingabe!$BC$27:$BC$38)),"")</f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</row>
    <row r="41" spans="4:86" s="36" customFormat="1" ht="12.75">
      <c r="D41" s="36" t="str">
        <f t="shared" si="0"/>
        <v>EifelboyzSVM Senioren II</v>
      </c>
      <c r="E41" s="36" t="str">
        <f aca="true" t="shared" si="3" ref="E41:E46">F35</f>
        <v>Eifelboyz</v>
      </c>
      <c r="F41" s="36" t="str">
        <f aca="true" t="shared" si="4" ref="F41:F46">E35</f>
        <v>SVM Senioren II</v>
      </c>
      <c r="G41" s="36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</c>
      <c r="H41" s="36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</c>
      <c r="I41" s="161">
        <f>IF(SUMPRODUCT((Ergebniseingabe!$AH$27:$AH$38=E41)*(Ergebniseingabe!$L$27:$L$38=F41)*(ISNUMBER(Ergebniseingabe!$BC$27:$BC$38)))=1,SUMPRODUCT((Ergebniseingabe!$AH$27:$AH$38=E41)*(Ergebniseingabe!$L$27:$L$38=F41)*(Ergebniseingabe!$BF$27:$BF$38)),"")</f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</row>
    <row r="42" spans="4:86" s="36" customFormat="1" ht="12.75">
      <c r="D42" s="36" t="str">
        <f t="shared" si="0"/>
        <v>A-Jugend (m)SVM Senioren II</v>
      </c>
      <c r="E42" s="36" t="str">
        <f t="shared" si="3"/>
        <v>A-Jugend (m)</v>
      </c>
      <c r="F42" s="36" t="str">
        <f t="shared" si="4"/>
        <v>SVM Senioren II</v>
      </c>
      <c r="G42" s="36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</c>
      <c r="H42" s="36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</c>
      <c r="I42" s="161">
        <f>IF(SUMPRODUCT((Ergebniseingabe!$AH$27:$AH$38=E42)*(Ergebniseingabe!$L$27:$L$38=F42)*(ISNUMBER(Ergebniseingabe!$BC$27:$BC$38)))=1,SUMPRODUCT((Ergebniseingabe!$AH$27:$AH$38=E42)*(Ergebniseingabe!$L$27:$L$38=F42)*(Ergebniseingabe!$BF$27:$BF$38)),"")</f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</row>
    <row r="43" spans="4:86" s="36" customFormat="1" ht="12.75">
      <c r="D43" s="36" t="str">
        <f t="shared" si="0"/>
        <v>A-Jugend (w)SVM Senioren II</v>
      </c>
      <c r="E43" s="36" t="str">
        <f t="shared" si="3"/>
        <v>A-Jugend (w)</v>
      </c>
      <c r="F43" s="36" t="str">
        <f t="shared" si="4"/>
        <v>SVM Senioren II</v>
      </c>
      <c r="G43" s="36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</c>
      <c r="H43" s="36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</c>
      <c r="I43" s="43">
        <f>IF(SUMPRODUCT((Ergebniseingabe!$L$27:$L$38=E43)*(Ergebniseingabe!$AH$27:$AH$38=F43)*(ISNUMBER(Ergebniseingabe!$BF$27:$BF$38)))=1,SUMPRODUCT((Ergebniseingabe!$L$27:$L$38=E43)*(Ergebniseingabe!$AH$27:$AH$38=F43)*(Ergebniseingabe!$BC$27:$BC$38)),"")</f>
      </c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</row>
    <row r="44" spans="4:86" s="36" customFormat="1" ht="12.75">
      <c r="D44" s="36" t="str">
        <f t="shared" si="0"/>
        <v>A-Jugend (m)Eifelboyz</v>
      </c>
      <c r="E44" s="36" t="str">
        <f t="shared" si="3"/>
        <v>A-Jugend (m)</v>
      </c>
      <c r="F44" s="36" t="str">
        <f t="shared" si="4"/>
        <v>Eifelboyz</v>
      </c>
      <c r="G44" s="36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</c>
      <c r="H44" s="36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</c>
      <c r="I44" s="161">
        <f>IF(SUMPRODUCT((Ergebniseingabe!$AH$27:$AH$38=E44)*(Ergebniseingabe!$L$27:$L$38=F44)*(ISNUMBER(Ergebniseingabe!$BC$27:$BC$38)))=1,SUMPRODUCT((Ergebniseingabe!$AH$27:$AH$38=E44)*(Ergebniseingabe!$L$27:$L$38=F44)*(Ergebniseingabe!$BF$27:$BF$38)),"")</f>
      </c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</row>
    <row r="45" spans="4:86" s="36" customFormat="1" ht="12.75">
      <c r="D45" s="36" t="str">
        <f t="shared" si="0"/>
        <v>A-Jugend (w)Eifelboyz</v>
      </c>
      <c r="E45" s="36" t="str">
        <f t="shared" si="3"/>
        <v>A-Jugend (w)</v>
      </c>
      <c r="F45" s="36" t="str">
        <f t="shared" si="4"/>
        <v>Eifelboyz</v>
      </c>
      <c r="G45" s="36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</c>
      <c r="H45" s="36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</c>
      <c r="I45" s="161">
        <f>IF(SUMPRODUCT((Ergebniseingabe!$AH$27:$AH$38=E45)*(Ergebniseingabe!$L$27:$L$38=F45)*(ISNUMBER(Ergebniseingabe!$BC$27:$BC$38)))=1,SUMPRODUCT((Ergebniseingabe!$AH$27:$AH$38=E45)*(Ergebniseingabe!$L$27:$L$38=F45)*(Ergebniseingabe!$BF$27:$BF$38)),"")</f>
      </c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</row>
    <row r="46" spans="4:86" s="36" customFormat="1" ht="12.75">
      <c r="D46" s="36" t="str">
        <f t="shared" si="0"/>
        <v>A-Jugend (w)A-Jugend (m)</v>
      </c>
      <c r="E46" s="36" t="str">
        <f t="shared" si="3"/>
        <v>A-Jugend (w)</v>
      </c>
      <c r="F46" s="36" t="str">
        <f t="shared" si="4"/>
        <v>A-Jugend (m)</v>
      </c>
      <c r="G46" s="36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</c>
      <c r="H46" s="36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</c>
      <c r="I46" s="161">
        <f>IF(SUMPRODUCT((Ergebniseingabe!$AH$27:$AH$38=E46)*(Ergebniseingabe!$L$27:$L$38=F46)*(ISNUMBER(Ergebniseingabe!$BC$27:$BC$38)))=1,SUMPRODUCT((Ergebniseingabe!$AH$27:$AH$38=E46)*(Ergebniseingabe!$L$27:$L$38=F46)*(Ergebniseingabe!$BF$27:$BF$38)),"")</f>
      </c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</row>
    <row r="47" spans="67:86" s="36" customFormat="1" ht="12.75"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</row>
    <row r="48" spans="67:86" s="36" customFormat="1" ht="12.75"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</row>
    <row r="49" spans="66:85" s="36" customFormat="1" ht="12.75"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</row>
    <row r="50" spans="66:85" s="36" customFormat="1" ht="12.75"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  <row r="51" spans="66:85" s="36" customFormat="1" ht="12.75"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</row>
    <row r="52" spans="66:85" s="36" customFormat="1" ht="12.75"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</row>
    <row r="53" spans="66:85" s="36" customFormat="1" ht="12.75"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</row>
    <row r="54" spans="66:85" s="36" customFormat="1" ht="12.75"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</row>
    <row r="55" spans="66:85" s="36" customFormat="1" ht="12.75"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</row>
    <row r="56" spans="66:85" s="36" customFormat="1" ht="12.75"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Ralf</cp:lastModifiedBy>
  <cp:lastPrinted>2015-06-18T18:34:16Z</cp:lastPrinted>
  <dcterms:created xsi:type="dcterms:W3CDTF">2010-02-21T20:13:34Z</dcterms:created>
  <dcterms:modified xsi:type="dcterms:W3CDTF">2015-06-18T19:15:30Z</dcterms:modified>
  <cp:category/>
  <cp:version/>
  <cp:contentType/>
  <cp:contentStatus/>
</cp:coreProperties>
</file>